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Jeff Schwein\Dropbox (Green DOT)\Green DOT Team Folder\00-Shasta RTA\NS Express Project\TIRCP Grant Effort\"/>
    </mc:Choice>
  </mc:AlternateContent>
  <bookViews>
    <workbookView xWindow="0" yWindow="0" windowWidth="23016" windowHeight="15012" tabRatio="846" activeTab="3"/>
    <workbookView xWindow="0" yWindow="0" windowWidth="46080" windowHeight="15036" activeTab="3"/>
  </bookViews>
  <sheets>
    <sheet name="Revenue" sheetId="9" r:id="rId1"/>
    <sheet name="Costs" sheetId="13" r:id="rId2"/>
    <sheet name="I-5 Backbone" sheetId="6" r:id="rId3"/>
    <sheet name="Siskiyou Feeder" sheetId="17" r:id="rId4"/>
    <sheet name="Shasta Urban Feeder" sheetId="20" r:id="rId5"/>
    <sheet name="North Valley Feeder" sheetId="18" r:id="rId6"/>
    <sheet name="Lake Feeder" sheetId="19" r:id="rId7"/>
    <sheet name="Operating Cost Calcs" sheetId="8" r:id="rId8"/>
    <sheet name="RABA Costs" sheetId="22" r:id="rId9"/>
    <sheet name="Vehicle Costs" sheetId="2" r:id="rId10"/>
    <sheet name="Lake Op Costs" sheetId="10" r:id="rId11"/>
    <sheet name="Fare Analysis" sheetId="11" r:id="rId12"/>
    <sheet name="E Bus Fleet" sheetId="16" r:id="rId13"/>
    <sheet name="LCFS" sheetId="14" r:id="rId14"/>
    <sheet name="Implementation Costs" sheetId="21" r:id="rId15"/>
  </sheets>
  <definedNames>
    <definedName name="_xlnm.Print_Area" localSheetId="11">'Fare Analysis'!$A$1:$R$44</definedName>
    <definedName name="_xlnm.Print_Area" localSheetId="2">'I-5 Backbone'!$A$1:$K$73</definedName>
    <definedName name="_xlnm.Print_Area" localSheetId="13">LCFS!#REF!</definedName>
    <definedName name="_xlnm.Print_Area" localSheetId="7">'Operating Cost Calcs'!$A$1:$I$18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11" l="1"/>
  <c r="E10" i="11"/>
  <c r="F10" i="11"/>
  <c r="G10" i="11"/>
  <c r="H10" i="11"/>
  <c r="I10" i="11"/>
  <c r="J10" i="11"/>
  <c r="K10" i="11"/>
  <c r="L10" i="11"/>
  <c r="M10" i="11"/>
  <c r="N10" i="11"/>
  <c r="O10" i="11"/>
  <c r="P10" i="11"/>
  <c r="Q10" i="11"/>
  <c r="R10" i="11"/>
  <c r="C10" i="11"/>
  <c r="G40" i="13"/>
  <c r="F40" i="13"/>
  <c r="C36" i="19"/>
  <c r="E40" i="13"/>
  <c r="D40" i="13"/>
  <c r="B41" i="13"/>
  <c r="C41" i="13"/>
  <c r="D41" i="13"/>
  <c r="E41" i="13"/>
  <c r="F41" i="13"/>
  <c r="B42" i="13"/>
  <c r="C42" i="13"/>
  <c r="G54" i="9" l="1"/>
  <c r="G55" i="9"/>
  <c r="G56" i="9"/>
  <c r="G57" i="9"/>
  <c r="G53" i="9"/>
  <c r="G46" i="9"/>
  <c r="G47" i="9"/>
  <c r="G48" i="9"/>
  <c r="G49" i="9"/>
  <c r="G50" i="9"/>
  <c r="G44" i="9"/>
  <c r="G33" i="9"/>
  <c r="G34" i="9"/>
  <c r="G35" i="9"/>
  <c r="G36" i="9"/>
  <c r="G37" i="9"/>
  <c r="G32" i="9"/>
  <c r="G24" i="9"/>
  <c r="G26" i="9"/>
  <c r="G27" i="9"/>
  <c r="G28" i="9"/>
  <c r="G23" i="9"/>
  <c r="G11" i="9"/>
  <c r="B34" i="9" l="1"/>
  <c r="B33" i="9"/>
  <c r="B57" i="9"/>
  <c r="B32" i="9"/>
  <c r="F19" i="13" l="1"/>
  <c r="E19" i="13"/>
  <c r="D19" i="13"/>
  <c r="C19" i="13"/>
  <c r="B19" i="13"/>
  <c r="G19" i="13" s="1"/>
  <c r="B9" i="20" l="1"/>
  <c r="B9" i="17"/>
  <c r="B37" i="9"/>
  <c r="D46" i="8"/>
  <c r="I4" i="19"/>
  <c r="F6" i="8" l="1"/>
  <c r="E9" i="22"/>
  <c r="E12" i="22" s="1"/>
  <c r="D9" i="22"/>
  <c r="D15" i="22" s="1"/>
  <c r="E15" i="22" l="1"/>
  <c r="E17" i="22" s="1"/>
  <c r="E19" i="22" s="1"/>
  <c r="E20" i="22" s="1"/>
  <c r="E21" i="22" s="1"/>
  <c r="D12" i="22"/>
  <c r="D17" i="22" s="1"/>
  <c r="D19" i="22" l="1"/>
  <c r="D20" i="22" s="1"/>
  <c r="D21" i="22" s="1"/>
  <c r="D7" i="8"/>
  <c r="E7" i="8"/>
  <c r="F7" i="8"/>
  <c r="C7" i="8"/>
  <c r="B7" i="8"/>
  <c r="B58" i="9"/>
  <c r="E17" i="8" l="1"/>
  <c r="C37" i="18" s="1"/>
  <c r="E16" i="8"/>
  <c r="F16" i="8"/>
  <c r="F17" i="8"/>
  <c r="C37" i="19" s="1"/>
  <c r="B16" i="8"/>
  <c r="B17" i="8"/>
  <c r="C37" i="6" s="1"/>
  <c r="D17" i="8"/>
  <c r="C37" i="17" s="1"/>
  <c r="D16" i="8"/>
  <c r="C17" i="8"/>
  <c r="C37" i="20" s="1"/>
  <c r="C16" i="8"/>
  <c r="I4" i="18"/>
  <c r="M13" i="16"/>
  <c r="I4" i="20"/>
  <c r="M11" i="16" s="1"/>
  <c r="M12" i="16" l="1"/>
  <c r="E6" i="8"/>
  <c r="C11" i="21"/>
  <c r="B33" i="19" s="1"/>
  <c r="F34" i="13" s="1"/>
  <c r="B11" i="21"/>
  <c r="C7" i="21"/>
  <c r="B29" i="19" s="1"/>
  <c r="F30" i="13" s="1"/>
  <c r="B7" i="21"/>
  <c r="B29" i="6" s="1"/>
  <c r="B30" i="13" s="1"/>
  <c r="B29" i="18" l="1"/>
  <c r="E30" i="13" s="1"/>
  <c r="B33" i="20"/>
  <c r="D34" i="13" s="1"/>
  <c r="B33" i="18"/>
  <c r="E34" i="13" s="1"/>
  <c r="B29" i="20"/>
  <c r="D30" i="13" s="1"/>
  <c r="B29" i="17"/>
  <c r="C30" i="13" s="1"/>
  <c r="G30" i="13" s="1"/>
  <c r="C9" i="21"/>
  <c r="B9" i="21"/>
  <c r="B31" i="6" s="1"/>
  <c r="B32" i="13" s="1"/>
  <c r="C8" i="21"/>
  <c r="B8" i="21"/>
  <c r="B30" i="6" s="1"/>
  <c r="B31" i="13" s="1"/>
  <c r="C10" i="21"/>
  <c r="B10" i="21"/>
  <c r="B32" i="6" s="1"/>
  <c r="B33" i="13" s="1"/>
  <c r="B31" i="20" l="1"/>
  <c r="D32" i="13" s="1"/>
  <c r="B31" i="19"/>
  <c r="F32" i="13" s="1"/>
  <c r="B31" i="18"/>
  <c r="E32" i="13" s="1"/>
  <c r="B31" i="17"/>
  <c r="C32" i="13" s="1"/>
  <c r="B30" i="19"/>
  <c r="F31" i="13" s="1"/>
  <c r="B30" i="20"/>
  <c r="D31" i="13" s="1"/>
  <c r="B30" i="18"/>
  <c r="E31" i="13" s="1"/>
  <c r="B30" i="17"/>
  <c r="C31" i="13" s="1"/>
  <c r="G31" i="13" s="1"/>
  <c r="B32" i="17"/>
  <c r="C33" i="13" s="1"/>
  <c r="B32" i="20"/>
  <c r="D33" i="13" s="1"/>
  <c r="B32" i="18"/>
  <c r="E33" i="13" s="1"/>
  <c r="B32" i="19"/>
  <c r="F33" i="13" s="1"/>
  <c r="E15" i="8"/>
  <c r="D15" i="8"/>
  <c r="C15" i="8"/>
  <c r="D7" i="11"/>
  <c r="D6" i="11"/>
  <c r="D9" i="11"/>
  <c r="D87" i="11"/>
  <c r="E87" i="11" s="1"/>
  <c r="D86" i="11"/>
  <c r="D113" i="11" s="1"/>
  <c r="D85" i="11"/>
  <c r="D112" i="11" s="1"/>
  <c r="D84" i="11"/>
  <c r="E84" i="11" s="1"/>
  <c r="D83" i="11"/>
  <c r="E83" i="11" s="1"/>
  <c r="D110" i="11"/>
  <c r="D52" i="11"/>
  <c r="D79" i="11" s="1"/>
  <c r="D51" i="11"/>
  <c r="E51" i="11" s="1"/>
  <c r="E69" i="11" s="1"/>
  <c r="D50" i="11"/>
  <c r="E50" i="11" s="1"/>
  <c r="E68" i="11" s="1"/>
  <c r="D49" i="11"/>
  <c r="D58" i="11" s="1"/>
  <c r="D48" i="11"/>
  <c r="E48" i="11" s="1"/>
  <c r="F13" i="14"/>
  <c r="C11" i="14"/>
  <c r="F15" i="14"/>
  <c r="G15" i="14" s="1"/>
  <c r="I15" i="14" s="1"/>
  <c r="J15" i="14" s="1"/>
  <c r="F29" i="9" s="1"/>
  <c r="F14" i="14"/>
  <c r="G14" i="14" s="1"/>
  <c r="I14" i="14" s="1"/>
  <c r="J14" i="14" s="1"/>
  <c r="E29" i="9" s="1"/>
  <c r="F12" i="14"/>
  <c r="F11" i="14"/>
  <c r="G11" i="14" s="1"/>
  <c r="I11" i="14" s="1"/>
  <c r="J11" i="14" s="1"/>
  <c r="B29" i="9" s="1"/>
  <c r="C9" i="9"/>
  <c r="F9" i="8"/>
  <c r="F15" i="8" s="1"/>
  <c r="C16" i="13"/>
  <c r="D16" i="13"/>
  <c r="E16" i="13"/>
  <c r="D17" i="13"/>
  <c r="D20" i="13"/>
  <c r="D21" i="13"/>
  <c r="E21" i="13"/>
  <c r="B10" i="13"/>
  <c r="B16" i="13"/>
  <c r="F16" i="13"/>
  <c r="B17" i="13"/>
  <c r="C17" i="13"/>
  <c r="E17" i="13"/>
  <c r="F17" i="13"/>
  <c r="B18" i="13"/>
  <c r="C18" i="13"/>
  <c r="D18" i="13"/>
  <c r="E18" i="13"/>
  <c r="F18" i="13"/>
  <c r="B20" i="13"/>
  <c r="F20" i="13"/>
  <c r="B21" i="13"/>
  <c r="F21" i="13"/>
  <c r="B22" i="13"/>
  <c r="D22" i="13"/>
  <c r="F22" i="13"/>
  <c r="B23" i="13"/>
  <c r="D23" i="13"/>
  <c r="E23" i="13"/>
  <c r="F23" i="13"/>
  <c r="B24" i="13"/>
  <c r="D24" i="13"/>
  <c r="E24" i="13"/>
  <c r="F24" i="13"/>
  <c r="B25" i="13"/>
  <c r="D25" i="13"/>
  <c r="E25" i="13"/>
  <c r="F25" i="13"/>
  <c r="B26" i="13"/>
  <c r="F26" i="13"/>
  <c r="B27" i="13"/>
  <c r="D27" i="13"/>
  <c r="E27" i="13"/>
  <c r="F27" i="13"/>
  <c r="B28" i="13"/>
  <c r="D28" i="13"/>
  <c r="E28" i="13"/>
  <c r="F28" i="13"/>
  <c r="B29" i="13"/>
  <c r="D29" i="13"/>
  <c r="E29" i="13"/>
  <c r="F29" i="13"/>
  <c r="B43" i="19"/>
  <c r="B5" i="19" s="1"/>
  <c r="B44" i="19"/>
  <c r="B6" i="19" s="1"/>
  <c r="F6" i="13" s="1"/>
  <c r="B45" i="19"/>
  <c r="B7" i="19" s="1"/>
  <c r="F7" i="13" s="1"/>
  <c r="B46" i="19"/>
  <c r="B8" i="19" s="1"/>
  <c r="F8" i="13" s="1"/>
  <c r="B47" i="19"/>
  <c r="B9" i="19" s="1"/>
  <c r="F9" i="13" s="1"/>
  <c r="B10" i="19"/>
  <c r="F10" i="13" s="1"/>
  <c r="G11" i="19"/>
  <c r="J11" i="19" s="1"/>
  <c r="B63" i="19"/>
  <c r="C63" i="19" s="1"/>
  <c r="B62" i="19"/>
  <c r="C62" i="19" s="1"/>
  <c r="B14" i="19" s="1"/>
  <c r="F15" i="13" s="1"/>
  <c r="B4" i="19"/>
  <c r="F4" i="13" s="1"/>
  <c r="B50" i="18"/>
  <c r="B21" i="18" s="1"/>
  <c r="E22" i="13" s="1"/>
  <c r="B43" i="18"/>
  <c r="B5" i="18" s="1"/>
  <c r="B44" i="18"/>
  <c r="B6" i="18" s="1"/>
  <c r="E6" i="13" s="1"/>
  <c r="B45" i="18"/>
  <c r="B7" i="18" s="1"/>
  <c r="E7" i="13" s="1"/>
  <c r="B46" i="18"/>
  <c r="B8" i="18"/>
  <c r="E8" i="13" s="1"/>
  <c r="B47" i="18"/>
  <c r="B9" i="18" s="1"/>
  <c r="E9" i="13" s="1"/>
  <c r="B10" i="18"/>
  <c r="E10" i="13" s="1"/>
  <c r="G11" i="18"/>
  <c r="I11" i="18"/>
  <c r="B11" i="18" s="1"/>
  <c r="E12" i="13" s="1"/>
  <c r="B63" i="18"/>
  <c r="C63" i="18" s="1"/>
  <c r="B62" i="18"/>
  <c r="C62" i="18" s="1"/>
  <c r="B14" i="18" s="1"/>
  <c r="E15" i="13" s="1"/>
  <c r="B48" i="18"/>
  <c r="B19" i="18"/>
  <c r="E20" i="13" s="1"/>
  <c r="B55" i="18"/>
  <c r="B25" i="18" s="1"/>
  <c r="E26" i="13" s="1"/>
  <c r="B4" i="18"/>
  <c r="E4" i="13" s="1"/>
  <c r="B43" i="20"/>
  <c r="B5" i="20" s="1"/>
  <c r="D5" i="13" s="1"/>
  <c r="B44" i="20"/>
  <c r="B6" i="20" s="1"/>
  <c r="D6" i="13" s="1"/>
  <c r="B45" i="20"/>
  <c r="B7" i="20" s="1"/>
  <c r="D7" i="13" s="1"/>
  <c r="B46" i="20"/>
  <c r="B8" i="20" s="1"/>
  <c r="D8" i="13" s="1"/>
  <c r="B47" i="20"/>
  <c r="D9" i="13" s="1"/>
  <c r="B10" i="20"/>
  <c r="D10" i="13" s="1"/>
  <c r="G11" i="20"/>
  <c r="I11" i="20" s="1"/>
  <c r="B11" i="20" s="1"/>
  <c r="D12" i="13" s="1"/>
  <c r="B63" i="20"/>
  <c r="C63" i="20" s="1"/>
  <c r="B62" i="20"/>
  <c r="C62" i="20" s="1"/>
  <c r="B14" i="20" s="1"/>
  <c r="D15" i="13" s="1"/>
  <c r="B55" i="20"/>
  <c r="B25" i="20" s="1"/>
  <c r="D26" i="13" s="1"/>
  <c r="B4" i="20"/>
  <c r="D4" i="13" s="1"/>
  <c r="B10" i="17"/>
  <c r="C10" i="13" s="1"/>
  <c r="B43" i="17"/>
  <c r="B44" i="17"/>
  <c r="B6" i="17" s="1"/>
  <c r="C6" i="13" s="1"/>
  <c r="B45" i="17"/>
  <c r="B7" i="17" s="1"/>
  <c r="C7" i="13" s="1"/>
  <c r="B46" i="17"/>
  <c r="B8" i="17" s="1"/>
  <c r="C8" i="13" s="1"/>
  <c r="B47" i="17"/>
  <c r="C9" i="13"/>
  <c r="I11" i="17"/>
  <c r="B11" i="17" s="1"/>
  <c r="C12" i="13" s="1"/>
  <c r="B52" i="17"/>
  <c r="B22" i="17"/>
  <c r="C23" i="13" s="1"/>
  <c r="B50" i="17"/>
  <c r="B13" i="17" s="1"/>
  <c r="C14" i="13" s="1"/>
  <c r="B4" i="17"/>
  <c r="C4" i="13" s="1"/>
  <c r="B43" i="6"/>
  <c r="B5" i="6"/>
  <c r="B5" i="13" s="1"/>
  <c r="B44" i="6"/>
  <c r="B6" i="6" s="1"/>
  <c r="B6" i="13" s="1"/>
  <c r="B45" i="6"/>
  <c r="B7" i="6" s="1"/>
  <c r="B7" i="13" s="1"/>
  <c r="B46" i="6"/>
  <c r="B8" i="6" s="1"/>
  <c r="B8" i="13" s="1"/>
  <c r="B47" i="6"/>
  <c r="B9" i="6" s="1"/>
  <c r="B9" i="13" s="1"/>
  <c r="B10" i="6"/>
  <c r="G11" i="6"/>
  <c r="I11" i="6" s="1"/>
  <c r="B63" i="6"/>
  <c r="C63" i="6" s="1"/>
  <c r="B62" i="6"/>
  <c r="C62" i="6" s="1"/>
  <c r="B14" i="6" s="1"/>
  <c r="B15" i="13" s="1"/>
  <c r="B4" i="6"/>
  <c r="B4" i="13" s="1"/>
  <c r="B62" i="17"/>
  <c r="C62" i="17" s="1"/>
  <c r="B14" i="17" s="1"/>
  <c r="C15" i="13" s="1"/>
  <c r="B48" i="17"/>
  <c r="B19" i="17" s="1"/>
  <c r="C20" i="13" s="1"/>
  <c r="B49" i="17"/>
  <c r="B20" i="17" s="1"/>
  <c r="C21" i="13" s="1"/>
  <c r="B51" i="17"/>
  <c r="B21" i="17" s="1"/>
  <c r="C22" i="13" s="1"/>
  <c r="B53" i="17"/>
  <c r="B23" i="17" s="1"/>
  <c r="C24" i="13" s="1"/>
  <c r="B54" i="17"/>
  <c r="B24" i="17" s="1"/>
  <c r="C25" i="13" s="1"/>
  <c r="B55" i="17"/>
  <c r="B25" i="17"/>
  <c r="C26" i="13" s="1"/>
  <c r="B56" i="17"/>
  <c r="B26" i="17" s="1"/>
  <c r="C27" i="13" s="1"/>
  <c r="B57" i="17"/>
  <c r="B27" i="17" s="1"/>
  <c r="C28" i="13" s="1"/>
  <c r="B58" i="17"/>
  <c r="B28" i="17"/>
  <c r="C29" i="13" s="1"/>
  <c r="B39" i="13"/>
  <c r="B14" i="8"/>
  <c r="G36" i="6"/>
  <c r="I36" i="6" s="1"/>
  <c r="I36" i="17"/>
  <c r="C11" i="13" s="1"/>
  <c r="G36" i="20"/>
  <c r="I36" i="20" s="1"/>
  <c r="C36" i="20" s="1"/>
  <c r="D11" i="13" s="1"/>
  <c r="G36" i="18"/>
  <c r="I36" i="18" s="1"/>
  <c r="C36" i="18" s="1"/>
  <c r="G36" i="19"/>
  <c r="I36" i="19" s="1"/>
  <c r="F11" i="13" s="1"/>
  <c r="B49" i="6"/>
  <c r="C72" i="20"/>
  <c r="K64" i="20"/>
  <c r="J64" i="20"/>
  <c r="I64" i="20"/>
  <c r="H64" i="20"/>
  <c r="G64" i="20"/>
  <c r="F64" i="20"/>
  <c r="E64" i="20"/>
  <c r="D64" i="20"/>
  <c r="N59" i="20"/>
  <c r="M59" i="20"/>
  <c r="L59" i="20"/>
  <c r="K59" i="20"/>
  <c r="J59" i="20"/>
  <c r="I59" i="20"/>
  <c r="H59" i="20"/>
  <c r="G59" i="20"/>
  <c r="F59" i="20"/>
  <c r="E59" i="20"/>
  <c r="D59" i="20"/>
  <c r="B58" i="20"/>
  <c r="B57" i="20"/>
  <c r="B56" i="20"/>
  <c r="B54" i="20"/>
  <c r="B53" i="20"/>
  <c r="B52" i="20"/>
  <c r="B51" i="20"/>
  <c r="B50" i="20"/>
  <c r="B49" i="20"/>
  <c r="B48" i="20"/>
  <c r="E28" i="8"/>
  <c r="E29" i="8" s="1"/>
  <c r="C14" i="8"/>
  <c r="C72" i="19"/>
  <c r="D72" i="19" s="1"/>
  <c r="K64" i="19"/>
  <c r="J64" i="19"/>
  <c r="I64" i="19"/>
  <c r="H64" i="19"/>
  <c r="G64" i="19"/>
  <c r="F64" i="19"/>
  <c r="E64" i="19"/>
  <c r="D64" i="19"/>
  <c r="N59" i="19"/>
  <c r="M59" i="19"/>
  <c r="L59" i="19"/>
  <c r="K59" i="19"/>
  <c r="J59" i="19"/>
  <c r="I59" i="19"/>
  <c r="H59" i="19"/>
  <c r="G59" i="19"/>
  <c r="F59" i="19"/>
  <c r="E59" i="19"/>
  <c r="D59" i="19"/>
  <c r="B58" i="19"/>
  <c r="B57" i="19"/>
  <c r="B56" i="19"/>
  <c r="B55" i="19"/>
  <c r="B54" i="19"/>
  <c r="B53" i="19"/>
  <c r="B52" i="19"/>
  <c r="B51" i="19"/>
  <c r="B50" i="19"/>
  <c r="B49" i="19"/>
  <c r="B48" i="19"/>
  <c r="J11" i="18"/>
  <c r="C72" i="18"/>
  <c r="D72" i="18" s="1"/>
  <c r="E72" i="18" s="1"/>
  <c r="F72" i="18" s="1"/>
  <c r="G72" i="18" s="1"/>
  <c r="H72" i="18" s="1"/>
  <c r="I72" i="18" s="1"/>
  <c r="J72" i="18" s="1"/>
  <c r="K72" i="18" s="1"/>
  <c r="L72" i="18" s="1"/>
  <c r="M72" i="18" s="1"/>
  <c r="N72" i="18" s="1"/>
  <c r="K64" i="18"/>
  <c r="J64" i="18"/>
  <c r="I64" i="18"/>
  <c r="H64" i="18"/>
  <c r="G64" i="18"/>
  <c r="F64" i="18"/>
  <c r="E64" i="18"/>
  <c r="D64" i="18"/>
  <c r="N59" i="18"/>
  <c r="M59" i="18"/>
  <c r="L59" i="18"/>
  <c r="K59" i="18"/>
  <c r="J59" i="18"/>
  <c r="I59" i="18"/>
  <c r="H59" i="18"/>
  <c r="G59" i="18"/>
  <c r="F59" i="18"/>
  <c r="E59" i="18"/>
  <c r="D59" i="18"/>
  <c r="B58" i="18"/>
  <c r="B57" i="18"/>
  <c r="B56" i="18"/>
  <c r="B54" i="18"/>
  <c r="B53" i="18"/>
  <c r="B52" i="18"/>
  <c r="B51" i="18"/>
  <c r="B49" i="18"/>
  <c r="E14" i="8"/>
  <c r="E39" i="13" s="1"/>
  <c r="I4" i="17"/>
  <c r="C72" i="17"/>
  <c r="D72" i="17" s="1"/>
  <c r="E72" i="17" s="1"/>
  <c r="F72" i="17" s="1"/>
  <c r="G72" i="17" s="1"/>
  <c r="H72" i="17" s="1"/>
  <c r="I72" i="17" s="1"/>
  <c r="J72" i="17" s="1"/>
  <c r="K72" i="17" s="1"/>
  <c r="L72" i="17" s="1"/>
  <c r="M72" i="17" s="1"/>
  <c r="N72" i="17" s="1"/>
  <c r="K64" i="17"/>
  <c r="J64" i="17"/>
  <c r="I64" i="17"/>
  <c r="H64" i="17"/>
  <c r="G64" i="17"/>
  <c r="F64" i="17"/>
  <c r="E64" i="17"/>
  <c r="D64" i="17"/>
  <c r="B63" i="17"/>
  <c r="B64" i="17" s="1"/>
  <c r="C63" i="17"/>
  <c r="C64" i="17" s="1"/>
  <c r="K59" i="17"/>
  <c r="J59" i="17"/>
  <c r="I59" i="17"/>
  <c r="H59" i="17"/>
  <c r="G59" i="17"/>
  <c r="F59" i="17"/>
  <c r="E59" i="17"/>
  <c r="D59" i="17"/>
  <c r="J36" i="17"/>
  <c r="J11" i="17"/>
  <c r="B37" i="8"/>
  <c r="D59" i="6"/>
  <c r="E59" i="6"/>
  <c r="F59" i="6"/>
  <c r="G59" i="6"/>
  <c r="H59" i="6"/>
  <c r="I59" i="6"/>
  <c r="J59" i="6"/>
  <c r="K59" i="6"/>
  <c r="G16" i="8"/>
  <c r="O11" i="16"/>
  <c r="O12" i="16"/>
  <c r="O13" i="16"/>
  <c r="J9" i="16"/>
  <c r="L9" i="16" s="1"/>
  <c r="B12" i="6" s="1"/>
  <c r="B13" i="13" s="1"/>
  <c r="J10" i="16"/>
  <c r="L10" i="16" s="1"/>
  <c r="B12" i="17" s="1"/>
  <c r="J11" i="16"/>
  <c r="L11" i="16" s="1"/>
  <c r="B12" i="20" s="1"/>
  <c r="J12" i="16"/>
  <c r="L12" i="16" s="1"/>
  <c r="B12" i="18" s="1"/>
  <c r="E13" i="13" s="1"/>
  <c r="J13" i="16"/>
  <c r="L13" i="16" s="1"/>
  <c r="B12" i="19" s="1"/>
  <c r="F13" i="13" s="1"/>
  <c r="B14" i="16"/>
  <c r="B57" i="6"/>
  <c r="B48" i="6"/>
  <c r="C56" i="2"/>
  <c r="B56" i="2"/>
  <c r="E64" i="6"/>
  <c r="F64" i="6"/>
  <c r="G64" i="6"/>
  <c r="H64" i="6"/>
  <c r="I64" i="6"/>
  <c r="J64" i="6"/>
  <c r="K64" i="6"/>
  <c r="C72" i="6"/>
  <c r="D72" i="6" s="1"/>
  <c r="D64" i="6"/>
  <c r="I4" i="10"/>
  <c r="I14" i="10"/>
  <c r="I6" i="10"/>
  <c r="J6" i="10" s="1"/>
  <c r="F13" i="8" s="1"/>
  <c r="N59" i="6"/>
  <c r="M59" i="6"/>
  <c r="L59" i="6"/>
  <c r="B58" i="6"/>
  <c r="B56" i="6"/>
  <c r="B55" i="6"/>
  <c r="B54" i="6"/>
  <c r="B53" i="6"/>
  <c r="B52" i="6"/>
  <c r="B51" i="6"/>
  <c r="B50" i="6"/>
  <c r="J36" i="6"/>
  <c r="H11" i="2"/>
  <c r="I11" i="2" s="1"/>
  <c r="G17" i="8"/>
  <c r="G18" i="8" s="1"/>
  <c r="G33" i="13" l="1"/>
  <c r="G32" i="13"/>
  <c r="B59" i="18"/>
  <c r="G12" i="14"/>
  <c r="G13" i="14"/>
  <c r="I13" i="14" s="1"/>
  <c r="J13" i="14" s="1"/>
  <c r="D29" i="9" s="1"/>
  <c r="D24" i="11"/>
  <c r="D15" i="11"/>
  <c r="B59" i="19"/>
  <c r="F16" i="14"/>
  <c r="B64" i="18"/>
  <c r="B59" i="17"/>
  <c r="D95" i="11"/>
  <c r="E9" i="11"/>
  <c r="E17" i="11" s="1"/>
  <c r="D17" i="11"/>
  <c r="B59" i="6"/>
  <c r="B64" i="19"/>
  <c r="D101" i="11"/>
  <c r="E6" i="11"/>
  <c r="E23" i="11" s="1"/>
  <c r="D14" i="11"/>
  <c r="D41" i="11"/>
  <c r="D92" i="11"/>
  <c r="D111" i="11"/>
  <c r="D60" i="11"/>
  <c r="E86" i="11"/>
  <c r="D102" i="11"/>
  <c r="D96" i="11"/>
  <c r="D32" i="11"/>
  <c r="D61" i="11"/>
  <c r="E52" i="11"/>
  <c r="E70" i="11" s="1"/>
  <c r="E85" i="11"/>
  <c r="E112" i="11" s="1"/>
  <c r="D68" i="11"/>
  <c r="D69" i="11"/>
  <c r="D103" i="11"/>
  <c r="D23" i="11"/>
  <c r="D70" i="11"/>
  <c r="D93" i="11"/>
  <c r="D105" i="11"/>
  <c r="D94" i="11"/>
  <c r="D114" i="11"/>
  <c r="B13" i="20"/>
  <c r="D14" i="13" s="1"/>
  <c r="C64" i="20"/>
  <c r="B11" i="6"/>
  <c r="B12" i="13" s="1"/>
  <c r="B6" i="8"/>
  <c r="M9" i="16"/>
  <c r="O9" i="16" s="1"/>
  <c r="B64" i="6"/>
  <c r="J4" i="10"/>
  <c r="J14" i="10" s="1"/>
  <c r="M10" i="16"/>
  <c r="O10" i="16" s="1"/>
  <c r="D6" i="8"/>
  <c r="B64" i="20"/>
  <c r="B5" i="17"/>
  <c r="C5" i="13" s="1"/>
  <c r="D57" i="11"/>
  <c r="E49" i="11"/>
  <c r="E58" i="11" s="1"/>
  <c r="D78" i="11"/>
  <c r="D66" i="11"/>
  <c r="D75" i="11"/>
  <c r="J11" i="6"/>
  <c r="J36" i="18"/>
  <c r="J11" i="20"/>
  <c r="B59" i="20"/>
  <c r="D59" i="11"/>
  <c r="D67" i="11"/>
  <c r="D77" i="11"/>
  <c r="N27" i="9"/>
  <c r="I11" i="19"/>
  <c r="B11" i="19" s="1"/>
  <c r="F12" i="13" s="1"/>
  <c r="J36" i="19"/>
  <c r="D35" i="11"/>
  <c r="D26" i="11"/>
  <c r="D44" i="11"/>
  <c r="D33" i="11"/>
  <c r="D42" i="11"/>
  <c r="B13" i="6"/>
  <c r="B14" i="13" s="1"/>
  <c r="C64" i="6"/>
  <c r="E72" i="6"/>
  <c r="F72" i="6" s="1"/>
  <c r="G72" i="6" s="1"/>
  <c r="H72" i="6" s="1"/>
  <c r="I72" i="6" s="1"/>
  <c r="J72" i="6" s="1"/>
  <c r="K72" i="6" s="1"/>
  <c r="L72" i="6" s="1"/>
  <c r="M72" i="6" s="1"/>
  <c r="N72" i="6" s="1"/>
  <c r="C64" i="19"/>
  <c r="B13" i="19"/>
  <c r="F14" i="13" s="1"/>
  <c r="O72" i="17"/>
  <c r="C38" i="18"/>
  <c r="E11" i="13"/>
  <c r="E43" i="13" s="1"/>
  <c r="E72" i="19"/>
  <c r="F72" i="19" s="1"/>
  <c r="G72" i="19" s="1"/>
  <c r="H72" i="19" s="1"/>
  <c r="I72" i="19" s="1"/>
  <c r="J72" i="19" s="1"/>
  <c r="K72" i="19" s="1"/>
  <c r="L72" i="19" s="1"/>
  <c r="M72" i="19" s="1"/>
  <c r="N72" i="19" s="1"/>
  <c r="C64" i="18"/>
  <c r="B13" i="18"/>
  <c r="E14" i="13" s="1"/>
  <c r="E5" i="13"/>
  <c r="F5" i="13"/>
  <c r="B11" i="13"/>
  <c r="C38" i="6"/>
  <c r="B18" i="8" s="1"/>
  <c r="F48" i="11"/>
  <c r="E75" i="11"/>
  <c r="E66" i="11"/>
  <c r="D72" i="20"/>
  <c r="E72" i="20" s="1"/>
  <c r="F72" i="20" s="1"/>
  <c r="G72" i="20" s="1"/>
  <c r="H72" i="20" s="1"/>
  <c r="I72" i="20" s="1"/>
  <c r="J72" i="20" s="1"/>
  <c r="K72" i="20" s="1"/>
  <c r="L72" i="20" s="1"/>
  <c r="M72" i="20" s="1"/>
  <c r="N72" i="20" s="1"/>
  <c r="I12" i="14"/>
  <c r="J12" i="14" s="1"/>
  <c r="C29" i="9" s="1"/>
  <c r="G29" i="9" s="1"/>
  <c r="E59" i="11"/>
  <c r="F50" i="11"/>
  <c r="E77" i="11"/>
  <c r="E96" i="11"/>
  <c r="F87" i="11"/>
  <c r="E105" i="11"/>
  <c r="E114" i="11"/>
  <c r="O72" i="18"/>
  <c r="E111" i="11"/>
  <c r="E102" i="11"/>
  <c r="E93" i="11"/>
  <c r="F84" i="11"/>
  <c r="E26" i="11"/>
  <c r="E101" i="11"/>
  <c r="F83" i="11"/>
  <c r="E92" i="11"/>
  <c r="E110" i="11"/>
  <c r="E7" i="11"/>
  <c r="E15" i="11" s="1"/>
  <c r="J36" i="20"/>
  <c r="C38" i="20"/>
  <c r="C18" i="8" s="1"/>
  <c r="D39" i="13"/>
  <c r="D43" i="13" s="1"/>
  <c r="E57" i="11"/>
  <c r="E78" i="11"/>
  <c r="E60" i="11"/>
  <c r="F51" i="11"/>
  <c r="D8" i="11"/>
  <c r="D16" i="11" s="1"/>
  <c r="D76" i="11"/>
  <c r="D104" i="11"/>
  <c r="D5" i="11"/>
  <c r="D13" i="11" s="1"/>
  <c r="G23" i="13"/>
  <c r="G21" i="13"/>
  <c r="G18" i="13"/>
  <c r="G4" i="13"/>
  <c r="G10" i="13"/>
  <c r="G22" i="13"/>
  <c r="G16" i="13"/>
  <c r="D13" i="13"/>
  <c r="G6" i="13"/>
  <c r="G29" i="13"/>
  <c r="G17" i="13"/>
  <c r="G28" i="13"/>
  <c r="C13" i="13"/>
  <c r="G26" i="13"/>
  <c r="G9" i="13"/>
  <c r="G41" i="13"/>
  <c r="G24" i="13"/>
  <c r="G20" i="13"/>
  <c r="G15" i="13"/>
  <c r="G7" i="13"/>
  <c r="G27" i="13"/>
  <c r="G42" i="13"/>
  <c r="G25" i="13"/>
  <c r="G8" i="13"/>
  <c r="B43" i="13"/>
  <c r="B39" i="9" s="1"/>
  <c r="E32" i="11" l="1"/>
  <c r="E41" i="11"/>
  <c r="G16" i="14"/>
  <c r="E5" i="14" s="1"/>
  <c r="F5" i="14" s="1"/>
  <c r="B38" i="20"/>
  <c r="F9" i="11"/>
  <c r="F17" i="11" s="1"/>
  <c r="B38" i="19"/>
  <c r="E44" i="11"/>
  <c r="C45" i="9"/>
  <c r="C51" i="9" s="1"/>
  <c r="C25" i="9"/>
  <c r="D45" i="9"/>
  <c r="D51" i="9" s="1"/>
  <c r="D25" i="9"/>
  <c r="F45" i="9"/>
  <c r="F51" i="9" s="1"/>
  <c r="F25" i="9"/>
  <c r="E35" i="11"/>
  <c r="F52" i="11"/>
  <c r="G52" i="11" s="1"/>
  <c r="B38" i="18"/>
  <c r="O72" i="19"/>
  <c r="F6" i="11"/>
  <c r="E14" i="11"/>
  <c r="E67" i="11"/>
  <c r="E94" i="11"/>
  <c r="F85" i="11"/>
  <c r="F103" i="11" s="1"/>
  <c r="E103" i="11"/>
  <c r="E76" i="11"/>
  <c r="F49" i="11"/>
  <c r="E61" i="11"/>
  <c r="E79" i="11"/>
  <c r="F86" i="11"/>
  <c r="E95" i="11"/>
  <c r="E104" i="11"/>
  <c r="E113" i="11"/>
  <c r="D35" i="13"/>
  <c r="B6" i="9" s="1"/>
  <c r="D6" i="9" s="1"/>
  <c r="E6" i="9" s="1"/>
  <c r="D12" i="9" s="1"/>
  <c r="D13" i="9" s="1"/>
  <c r="G12" i="13"/>
  <c r="G14" i="13"/>
  <c r="G11" i="13"/>
  <c r="O72" i="20"/>
  <c r="E35" i="13"/>
  <c r="B7" i="9" s="1"/>
  <c r="D7" i="9" s="1"/>
  <c r="E7" i="9" s="1"/>
  <c r="E12" i="9" s="1"/>
  <c r="E13" i="9" s="1"/>
  <c r="F35" i="13"/>
  <c r="B8" i="9" s="1"/>
  <c r="D8" i="9" s="1"/>
  <c r="E8" i="9" s="1"/>
  <c r="F12" i="9" s="1"/>
  <c r="F13" i="9" s="1"/>
  <c r="G5" i="13"/>
  <c r="D39" i="9"/>
  <c r="D60" i="9" s="1"/>
  <c r="F60" i="11"/>
  <c r="G51" i="11"/>
  <c r="F78" i="11"/>
  <c r="F69" i="11"/>
  <c r="C38" i="17"/>
  <c r="C39" i="9" s="1"/>
  <c r="C39" i="13"/>
  <c r="G9" i="11"/>
  <c r="G17" i="11" s="1"/>
  <c r="F44" i="11"/>
  <c r="F26" i="11"/>
  <c r="F35" i="11"/>
  <c r="F70" i="11"/>
  <c r="F105" i="11"/>
  <c r="G87" i="11"/>
  <c r="F114" i="11"/>
  <c r="F96" i="11"/>
  <c r="F102" i="11"/>
  <c r="F93" i="11"/>
  <c r="F111" i="11"/>
  <c r="G84" i="11"/>
  <c r="G49" i="11"/>
  <c r="F76" i="11"/>
  <c r="F67" i="11"/>
  <c r="F58" i="11"/>
  <c r="F7" i="11"/>
  <c r="F15" i="11" s="1"/>
  <c r="E33" i="11"/>
  <c r="E24" i="11"/>
  <c r="E42" i="11"/>
  <c r="O72" i="6"/>
  <c r="C38" i="19"/>
  <c r="F39" i="13"/>
  <c r="F43" i="13" s="1"/>
  <c r="E8" i="11"/>
  <c r="E16" i="11" s="1"/>
  <c r="D34" i="11"/>
  <c r="D25" i="11"/>
  <c r="D43" i="11"/>
  <c r="G50" i="11"/>
  <c r="F77" i="11"/>
  <c r="F68" i="11"/>
  <c r="F59" i="11"/>
  <c r="D22" i="11"/>
  <c r="B25" i="9" s="1"/>
  <c r="E5" i="11"/>
  <c r="E13" i="11" s="1"/>
  <c r="D31" i="11"/>
  <c r="D40" i="11"/>
  <c r="F112" i="11"/>
  <c r="F66" i="11"/>
  <c r="G48" i="11"/>
  <c r="F57" i="11"/>
  <c r="F75" i="11"/>
  <c r="E39" i="9"/>
  <c r="E60" i="9" s="1"/>
  <c r="E18" i="8"/>
  <c r="F101" i="11"/>
  <c r="F92" i="11"/>
  <c r="G83" i="11"/>
  <c r="F110" i="11"/>
  <c r="G13" i="13"/>
  <c r="E49" i="13"/>
  <c r="D49" i="13"/>
  <c r="B30" i="9" l="1"/>
  <c r="G85" i="11"/>
  <c r="F59" i="9"/>
  <c r="F58" i="9"/>
  <c r="F61" i="11"/>
  <c r="F94" i="11"/>
  <c r="E45" i="9"/>
  <c r="E51" i="9" s="1"/>
  <c r="E25" i="9"/>
  <c r="G25" i="9" s="1"/>
  <c r="D59" i="9"/>
  <c r="F79" i="11"/>
  <c r="G6" i="11"/>
  <c r="F14" i="11"/>
  <c r="F41" i="11"/>
  <c r="F23" i="11"/>
  <c r="F32" i="11"/>
  <c r="G86" i="11"/>
  <c r="F113" i="11"/>
  <c r="F104" i="11"/>
  <c r="F95" i="11"/>
  <c r="B60" i="9"/>
  <c r="G79" i="11"/>
  <c r="H52" i="11"/>
  <c r="G61" i="11"/>
  <c r="G70" i="11"/>
  <c r="C60" i="9"/>
  <c r="D18" i="8"/>
  <c r="G7" i="11"/>
  <c r="G15" i="11" s="1"/>
  <c r="F33" i="11"/>
  <c r="F42" i="11"/>
  <c r="F24" i="11"/>
  <c r="F8" i="11"/>
  <c r="F16" i="11" s="1"/>
  <c r="E34" i="11"/>
  <c r="E25" i="11"/>
  <c r="E43" i="11"/>
  <c r="H51" i="11"/>
  <c r="G78" i="11"/>
  <c r="G69" i="11"/>
  <c r="G60" i="11"/>
  <c r="F39" i="9"/>
  <c r="F60" i="9" s="1"/>
  <c r="F18" i="8"/>
  <c r="G105" i="11"/>
  <c r="G114" i="11"/>
  <c r="H87" i="11"/>
  <c r="G96" i="11"/>
  <c r="G112" i="11"/>
  <c r="G103" i="11"/>
  <c r="H85" i="11"/>
  <c r="G94" i="11"/>
  <c r="F5" i="11"/>
  <c r="F13" i="11" s="1"/>
  <c r="E22" i="11"/>
  <c r="B45" i="9" s="1"/>
  <c r="G45" i="9" s="1"/>
  <c r="E40" i="11"/>
  <c r="E31" i="11"/>
  <c r="G76" i="11"/>
  <c r="H49" i="11"/>
  <c r="G67" i="11"/>
  <c r="G58" i="11"/>
  <c r="G35" i="11"/>
  <c r="G44" i="11"/>
  <c r="H9" i="11"/>
  <c r="H17" i="11" s="1"/>
  <c r="G26" i="11"/>
  <c r="G75" i="11"/>
  <c r="H48" i="11"/>
  <c r="G66" i="11"/>
  <c r="G57" i="11"/>
  <c r="G92" i="11"/>
  <c r="G110" i="11"/>
  <c r="H83" i="11"/>
  <c r="G101" i="11"/>
  <c r="G77" i="11"/>
  <c r="G68" i="11"/>
  <c r="H50" i="11"/>
  <c r="G59" i="11"/>
  <c r="H84" i="11"/>
  <c r="G102" i="11"/>
  <c r="G93" i="11"/>
  <c r="G111" i="11"/>
  <c r="C43" i="13"/>
  <c r="H39" i="13"/>
  <c r="G39" i="13"/>
  <c r="G43" i="13" s="1"/>
  <c r="G60" i="9" l="1"/>
  <c r="B38" i="9"/>
  <c r="G39" i="9"/>
  <c r="B18" i="9"/>
  <c r="B17" i="9"/>
  <c r="B51" i="9"/>
  <c r="F61" i="9"/>
  <c r="D58" i="9"/>
  <c r="D61" i="9" s="1"/>
  <c r="E59" i="9"/>
  <c r="E50" i="13"/>
  <c r="H6" i="11"/>
  <c r="G14" i="11"/>
  <c r="G23" i="11"/>
  <c r="G41" i="11"/>
  <c r="G32" i="11"/>
  <c r="H86" i="11"/>
  <c r="G95" i="11"/>
  <c r="G113" i="11"/>
  <c r="G104" i="11"/>
  <c r="D50" i="13"/>
  <c r="D37" i="9" s="1"/>
  <c r="F49" i="13"/>
  <c r="C49" i="13"/>
  <c r="H92" i="11"/>
  <c r="H110" i="11"/>
  <c r="H101" i="11"/>
  <c r="I83" i="11"/>
  <c r="H35" i="11"/>
  <c r="H44" i="11"/>
  <c r="I9" i="11"/>
  <c r="I17" i="11" s="1"/>
  <c r="H26" i="11"/>
  <c r="H105" i="11"/>
  <c r="H114" i="11"/>
  <c r="H96" i="11"/>
  <c r="I87" i="11"/>
  <c r="I51" i="11"/>
  <c r="H78" i="11"/>
  <c r="H69" i="11"/>
  <c r="H60" i="11"/>
  <c r="G24" i="11"/>
  <c r="G33" i="11"/>
  <c r="G42" i="11"/>
  <c r="H7" i="11"/>
  <c r="H15" i="11" s="1"/>
  <c r="I84" i="11"/>
  <c r="H93" i="11"/>
  <c r="H111" i="11"/>
  <c r="H102" i="11"/>
  <c r="G5" i="11"/>
  <c r="G13" i="11" s="1"/>
  <c r="F22" i="11"/>
  <c r="F40" i="11"/>
  <c r="F31" i="11"/>
  <c r="F50" i="13"/>
  <c r="F37" i="9" s="1"/>
  <c r="C50" i="13"/>
  <c r="H103" i="11"/>
  <c r="I85" i="11"/>
  <c r="H94" i="11"/>
  <c r="H112" i="11"/>
  <c r="G8" i="11"/>
  <c r="G16" i="11" s="1"/>
  <c r="F25" i="11"/>
  <c r="F34" i="11"/>
  <c r="F43" i="11"/>
  <c r="H77" i="11"/>
  <c r="H68" i="11"/>
  <c r="H59" i="11"/>
  <c r="I50" i="11"/>
  <c r="H66" i="11"/>
  <c r="I48" i="11"/>
  <c r="H57" i="11"/>
  <c r="H75" i="11"/>
  <c r="H67" i="11"/>
  <c r="I49" i="11"/>
  <c r="H58" i="11"/>
  <c r="H76" i="11"/>
  <c r="I52" i="11"/>
  <c r="H70" i="11"/>
  <c r="H79" i="11"/>
  <c r="H61" i="11"/>
  <c r="B59" i="9" l="1"/>
  <c r="G51" i="9"/>
  <c r="E30" i="9"/>
  <c r="E38" i="9" s="1"/>
  <c r="E37" i="9"/>
  <c r="E58" i="9"/>
  <c r="E61" i="9" s="1"/>
  <c r="H14" i="11"/>
  <c r="H32" i="11"/>
  <c r="H41" i="11"/>
  <c r="I6" i="11"/>
  <c r="H23" i="11"/>
  <c r="B61" i="9"/>
  <c r="I86" i="11"/>
  <c r="H113" i="11"/>
  <c r="H104" i="11"/>
  <c r="H95" i="11"/>
  <c r="F30" i="9"/>
  <c r="D30" i="9"/>
  <c r="G50" i="13"/>
  <c r="I93" i="11"/>
  <c r="J84" i="11"/>
  <c r="I111" i="11"/>
  <c r="I102" i="11"/>
  <c r="J51" i="11"/>
  <c r="I78" i="11"/>
  <c r="I69" i="11"/>
  <c r="I60" i="11"/>
  <c r="J48" i="11"/>
  <c r="I57" i="11"/>
  <c r="I75" i="11"/>
  <c r="I66" i="11"/>
  <c r="J87" i="11"/>
  <c r="I105" i="11"/>
  <c r="I114" i="11"/>
  <c r="I96" i="11"/>
  <c r="J50" i="11"/>
  <c r="I77" i="11"/>
  <c r="I68" i="11"/>
  <c r="I59" i="11"/>
  <c r="J83" i="11"/>
  <c r="I92" i="11"/>
  <c r="I110" i="11"/>
  <c r="I101" i="11"/>
  <c r="G31" i="11"/>
  <c r="G22" i="11"/>
  <c r="G40" i="11"/>
  <c r="H5" i="11"/>
  <c r="H13" i="11" s="1"/>
  <c r="I94" i="11"/>
  <c r="J85" i="11"/>
  <c r="I112" i="11"/>
  <c r="I103" i="11"/>
  <c r="J52" i="11"/>
  <c r="I70" i="11"/>
  <c r="I79" i="11"/>
  <c r="I61" i="11"/>
  <c r="I76" i="11"/>
  <c r="I67" i="11"/>
  <c r="I58" i="11"/>
  <c r="J49" i="11"/>
  <c r="H24" i="11"/>
  <c r="H33" i="11"/>
  <c r="H42" i="11"/>
  <c r="I7" i="11"/>
  <c r="I15" i="11" s="1"/>
  <c r="G34" i="11"/>
  <c r="H8" i="11"/>
  <c r="H16" i="11" s="1"/>
  <c r="G43" i="11"/>
  <c r="G25" i="11"/>
  <c r="J9" i="11"/>
  <c r="J17" i="11" s="1"/>
  <c r="I26" i="11"/>
  <c r="I35" i="11"/>
  <c r="I44" i="11"/>
  <c r="B33" i="6"/>
  <c r="B33" i="17"/>
  <c r="D38" i="9" l="1"/>
  <c r="D40" i="9" s="1"/>
  <c r="F38" i="9"/>
  <c r="F40" i="9" s="1"/>
  <c r="E40" i="9"/>
  <c r="C30" i="9"/>
  <c r="C37" i="9"/>
  <c r="I14" i="11"/>
  <c r="I32" i="11"/>
  <c r="I23" i="11"/>
  <c r="I41" i="11"/>
  <c r="J6" i="11"/>
  <c r="I104" i="11"/>
  <c r="I95" i="11"/>
  <c r="J86" i="11"/>
  <c r="I113" i="11"/>
  <c r="J58" i="11"/>
  <c r="K49" i="11"/>
  <c r="J67" i="11"/>
  <c r="J76" i="11"/>
  <c r="J105" i="11"/>
  <c r="K87" i="11"/>
  <c r="J114" i="11"/>
  <c r="J96" i="11"/>
  <c r="K51" i="11"/>
  <c r="J78" i="11"/>
  <c r="J69" i="11"/>
  <c r="J60" i="11"/>
  <c r="B38" i="6"/>
  <c r="B34" i="13"/>
  <c r="B38" i="17"/>
  <c r="C34" i="13"/>
  <c r="C35" i="13" s="1"/>
  <c r="B5" i="9" s="1"/>
  <c r="J94" i="11"/>
  <c r="K85" i="11"/>
  <c r="J112" i="11"/>
  <c r="J103" i="11"/>
  <c r="J7" i="11"/>
  <c r="J15" i="11" s="1"/>
  <c r="I42" i="11"/>
  <c r="I24" i="11"/>
  <c r="I33" i="11"/>
  <c r="J93" i="11"/>
  <c r="K84" i="11"/>
  <c r="J111" i="11"/>
  <c r="J102" i="11"/>
  <c r="H25" i="11"/>
  <c r="H34" i="11"/>
  <c r="H43" i="11"/>
  <c r="I8" i="11"/>
  <c r="I16" i="11" s="1"/>
  <c r="J68" i="11"/>
  <c r="J59" i="11"/>
  <c r="K50" i="11"/>
  <c r="J77" i="11"/>
  <c r="H31" i="11"/>
  <c r="I5" i="11"/>
  <c r="I13" i="11" s="1"/>
  <c r="H22" i="11"/>
  <c r="H40" i="11"/>
  <c r="K9" i="11"/>
  <c r="K17" i="11" s="1"/>
  <c r="J35" i="11"/>
  <c r="J26" i="11"/>
  <c r="J44" i="11"/>
  <c r="J70" i="11"/>
  <c r="K52" i="11"/>
  <c r="J79" i="11"/>
  <c r="J61" i="11"/>
  <c r="K83" i="11"/>
  <c r="J110" i="11"/>
  <c r="J101" i="11"/>
  <c r="J92" i="11"/>
  <c r="J57" i="11"/>
  <c r="K48" i="11"/>
  <c r="J75" i="11"/>
  <c r="J66" i="11"/>
  <c r="C17" i="9" l="1"/>
  <c r="G30" i="9"/>
  <c r="D17" i="9"/>
  <c r="C38" i="9"/>
  <c r="G38" i="9" s="1"/>
  <c r="J14" i="11"/>
  <c r="J41" i="11"/>
  <c r="K6" i="11"/>
  <c r="J23" i="11"/>
  <c r="J32" i="11"/>
  <c r="J95" i="11"/>
  <c r="K86" i="11"/>
  <c r="J104" i="11"/>
  <c r="J113" i="11"/>
  <c r="G34" i="13"/>
  <c r="G35" i="13" s="1"/>
  <c r="K77" i="11"/>
  <c r="L50" i="11"/>
  <c r="K59" i="11"/>
  <c r="K68" i="11"/>
  <c r="K111" i="11"/>
  <c r="L84" i="11"/>
  <c r="K102" i="11"/>
  <c r="K93" i="11"/>
  <c r="K94" i="11"/>
  <c r="K112" i="11"/>
  <c r="K103" i="11"/>
  <c r="L85" i="11"/>
  <c r="K110" i="11"/>
  <c r="L83" i="11"/>
  <c r="K101" i="11"/>
  <c r="K92" i="11"/>
  <c r="L9" i="11"/>
  <c r="L17" i="11" s="1"/>
  <c r="K35" i="11"/>
  <c r="K26" i="11"/>
  <c r="K44" i="11"/>
  <c r="K78" i="11"/>
  <c r="K69" i="11"/>
  <c r="L51" i="11"/>
  <c r="K60" i="11"/>
  <c r="K7" i="11"/>
  <c r="K15" i="11" s="1"/>
  <c r="J33" i="11"/>
  <c r="J24" i="11"/>
  <c r="J42" i="11"/>
  <c r="K57" i="11"/>
  <c r="K75" i="11"/>
  <c r="L48" i="11"/>
  <c r="K66" i="11"/>
  <c r="J8" i="11"/>
  <c r="J16" i="11" s="1"/>
  <c r="I34" i="11"/>
  <c r="I43" i="11"/>
  <c r="I25" i="11"/>
  <c r="K70" i="11"/>
  <c r="K79" i="11"/>
  <c r="L52" i="11"/>
  <c r="K61" i="11"/>
  <c r="J5" i="11"/>
  <c r="J13" i="11" s="1"/>
  <c r="I40" i="11"/>
  <c r="I31" i="11"/>
  <c r="I22" i="11"/>
  <c r="B35" i="13"/>
  <c r="B4" i="9" s="1"/>
  <c r="D4" i="9" s="1"/>
  <c r="E4" i="9" s="1"/>
  <c r="B12" i="9" s="1"/>
  <c r="K114" i="11"/>
  <c r="L87" i="11"/>
  <c r="K96" i="11"/>
  <c r="K105" i="11"/>
  <c r="L49" i="11"/>
  <c r="K58" i="11"/>
  <c r="K76" i="11"/>
  <c r="K67" i="11"/>
  <c r="D5" i="9"/>
  <c r="E5" i="9" s="1"/>
  <c r="G46" i="13" l="1"/>
  <c r="I30" i="13"/>
  <c r="B13" i="9"/>
  <c r="K14" i="11"/>
  <c r="K32" i="11"/>
  <c r="L6" i="11"/>
  <c r="K41" i="11"/>
  <c r="K23" i="11"/>
  <c r="L86" i="11"/>
  <c r="K95" i="11"/>
  <c r="K113" i="11"/>
  <c r="K104" i="11"/>
  <c r="B1047218" i="13"/>
  <c r="G1047218" i="13" s="1"/>
  <c r="B9" i="9"/>
  <c r="D9" i="9" s="1"/>
  <c r="L96" i="11"/>
  <c r="M87" i="11"/>
  <c r="L105" i="11"/>
  <c r="L114" i="11"/>
  <c r="L78" i="11"/>
  <c r="L60" i="11"/>
  <c r="M51" i="11"/>
  <c r="L69" i="11"/>
  <c r="L70" i="11"/>
  <c r="L79" i="11"/>
  <c r="L61" i="11"/>
  <c r="M52" i="11"/>
  <c r="L75" i="11"/>
  <c r="L66" i="11"/>
  <c r="M48" i="11"/>
  <c r="L57" i="11"/>
  <c r="L101" i="11"/>
  <c r="M83" i="11"/>
  <c r="L92" i="11"/>
  <c r="L110" i="11"/>
  <c r="L112" i="11"/>
  <c r="L103" i="11"/>
  <c r="M85" i="11"/>
  <c r="L94" i="11"/>
  <c r="L58" i="11"/>
  <c r="L76" i="11"/>
  <c r="L67" i="11"/>
  <c r="M49" i="11"/>
  <c r="L111" i="11"/>
  <c r="L102" i="11"/>
  <c r="M84" i="11"/>
  <c r="L93" i="11"/>
  <c r="M50" i="11"/>
  <c r="L59" i="11"/>
  <c r="L77" i="11"/>
  <c r="L68" i="11"/>
  <c r="K5" i="11"/>
  <c r="K13" i="11" s="1"/>
  <c r="J40" i="11"/>
  <c r="J31" i="11"/>
  <c r="J22" i="11"/>
  <c r="K8" i="11"/>
  <c r="K16" i="11" s="1"/>
  <c r="J34" i="11"/>
  <c r="J43" i="11"/>
  <c r="J25" i="11"/>
  <c r="L7" i="11"/>
  <c r="L15" i="11" s="1"/>
  <c r="K24" i="11"/>
  <c r="K42" i="11"/>
  <c r="K33" i="11"/>
  <c r="M9" i="11"/>
  <c r="M17" i="11" s="1"/>
  <c r="L44" i="11"/>
  <c r="L35" i="11"/>
  <c r="L26" i="11"/>
  <c r="E9" i="9"/>
  <c r="C12" i="9"/>
  <c r="C13" i="9" s="1"/>
  <c r="G12" i="9" l="1"/>
  <c r="G13" i="9"/>
  <c r="L14" i="11"/>
  <c r="L23" i="11"/>
  <c r="M6" i="11"/>
  <c r="L41" i="11"/>
  <c r="L32" i="11"/>
  <c r="L104" i="11"/>
  <c r="M86" i="11"/>
  <c r="L95" i="11"/>
  <c r="L113" i="11"/>
  <c r="N52" i="11"/>
  <c r="M79" i="11"/>
  <c r="M61" i="11"/>
  <c r="M70" i="11"/>
  <c r="M78" i="11"/>
  <c r="M69" i="11"/>
  <c r="M60" i="11"/>
  <c r="N51" i="11"/>
  <c r="M101" i="11"/>
  <c r="N83" i="11"/>
  <c r="M92" i="11"/>
  <c r="M110" i="11"/>
  <c r="M7" i="11"/>
  <c r="M15" i="11" s="1"/>
  <c r="L24" i="11"/>
  <c r="L33" i="11"/>
  <c r="L42" i="11"/>
  <c r="L5" i="11"/>
  <c r="L13" i="11" s="1"/>
  <c r="K22" i="11"/>
  <c r="K40" i="11"/>
  <c r="K31" i="11"/>
  <c r="N49" i="11"/>
  <c r="M76" i="11"/>
  <c r="M67" i="11"/>
  <c r="M58" i="11"/>
  <c r="M111" i="11"/>
  <c r="M102" i="11"/>
  <c r="M93" i="11"/>
  <c r="N84" i="11"/>
  <c r="N85" i="11"/>
  <c r="M112" i="11"/>
  <c r="M103" i="11"/>
  <c r="M94" i="11"/>
  <c r="N48" i="11"/>
  <c r="M75" i="11"/>
  <c r="M66" i="11"/>
  <c r="M57" i="11"/>
  <c r="M96" i="11"/>
  <c r="N87" i="11"/>
  <c r="M105" i="11"/>
  <c r="M114" i="11"/>
  <c r="N9" i="11"/>
  <c r="N17" i="11" s="1"/>
  <c r="M35" i="11"/>
  <c r="M26" i="11"/>
  <c r="M44" i="11"/>
  <c r="L8" i="11"/>
  <c r="L16" i="11" s="1"/>
  <c r="K43" i="11"/>
  <c r="K25" i="11"/>
  <c r="K34" i="11"/>
  <c r="M59" i="11"/>
  <c r="N50" i="11"/>
  <c r="M77" i="11"/>
  <c r="M68" i="11"/>
  <c r="M14" i="11" l="1"/>
  <c r="M23" i="11"/>
  <c r="N6" i="11"/>
  <c r="M41" i="11"/>
  <c r="M32" i="11"/>
  <c r="N86" i="11"/>
  <c r="M113" i="11"/>
  <c r="M104" i="11"/>
  <c r="M95" i="11"/>
  <c r="M5" i="11"/>
  <c r="M13" i="11" s="1"/>
  <c r="L22" i="11"/>
  <c r="L40" i="11"/>
  <c r="L31" i="11"/>
  <c r="N102" i="11"/>
  <c r="N93" i="11"/>
  <c r="N111" i="11"/>
  <c r="O84" i="11"/>
  <c r="N60" i="11"/>
  <c r="O51" i="11"/>
  <c r="N78" i="11"/>
  <c r="N69" i="11"/>
  <c r="O85" i="11"/>
  <c r="N112" i="11"/>
  <c r="N103" i="11"/>
  <c r="N94" i="11"/>
  <c r="M8" i="11"/>
  <c r="M16" i="11" s="1"/>
  <c r="L34" i="11"/>
  <c r="L43" i="11"/>
  <c r="L25" i="11"/>
  <c r="O49" i="11"/>
  <c r="N76" i="11"/>
  <c r="N67" i="11"/>
  <c r="N58" i="11"/>
  <c r="N70" i="11"/>
  <c r="O52" i="11"/>
  <c r="N79" i="11"/>
  <c r="N61" i="11"/>
  <c r="O50" i="11"/>
  <c r="N77" i="11"/>
  <c r="N68" i="11"/>
  <c r="N59" i="11"/>
  <c r="O9" i="11"/>
  <c r="O17" i="11" s="1"/>
  <c r="N35" i="11"/>
  <c r="N26" i="11"/>
  <c r="N44" i="11"/>
  <c r="N66" i="11"/>
  <c r="O48" i="11"/>
  <c r="N75" i="11"/>
  <c r="N57" i="11"/>
  <c r="N7" i="11"/>
  <c r="N15" i="11" s="1"/>
  <c r="M24" i="11"/>
  <c r="M33" i="11"/>
  <c r="M42" i="11"/>
  <c r="N105" i="11"/>
  <c r="O87" i="11"/>
  <c r="N114" i="11"/>
  <c r="N96" i="11"/>
  <c r="N101" i="11"/>
  <c r="N92" i="11"/>
  <c r="O83" i="11"/>
  <c r="N110" i="11"/>
  <c r="N14" i="11" l="1"/>
  <c r="N41" i="11"/>
  <c r="N23" i="11"/>
  <c r="O6" i="11"/>
  <c r="N32" i="11"/>
  <c r="O86" i="11"/>
  <c r="N104" i="11"/>
  <c r="N113" i="11"/>
  <c r="N95" i="11"/>
  <c r="O105" i="11"/>
  <c r="O114" i="11"/>
  <c r="P87" i="11"/>
  <c r="O96" i="11"/>
  <c r="O79" i="11"/>
  <c r="P52" i="11"/>
  <c r="O61" i="11"/>
  <c r="O70" i="11"/>
  <c r="P51" i="11"/>
  <c r="O78" i="11"/>
  <c r="O69" i="11"/>
  <c r="O60" i="11"/>
  <c r="P9" i="11"/>
  <c r="P17" i="11" s="1"/>
  <c r="O26" i="11"/>
  <c r="O44" i="11"/>
  <c r="O35" i="11"/>
  <c r="N8" i="11"/>
  <c r="N16" i="11" s="1"/>
  <c r="M43" i="11"/>
  <c r="M25" i="11"/>
  <c r="M34" i="11"/>
  <c r="N5" i="11"/>
  <c r="N13" i="11" s="1"/>
  <c r="M40" i="11"/>
  <c r="M31" i="11"/>
  <c r="M22" i="11"/>
  <c r="P84" i="11"/>
  <c r="O102" i="11"/>
  <c r="O93" i="11"/>
  <c r="O111" i="11"/>
  <c r="O92" i="11"/>
  <c r="O110" i="11"/>
  <c r="P83" i="11"/>
  <c r="O101" i="11"/>
  <c r="O75" i="11"/>
  <c r="P48" i="11"/>
  <c r="O66" i="11"/>
  <c r="O57" i="11"/>
  <c r="O7" i="11"/>
  <c r="O15" i="11" s="1"/>
  <c r="N33" i="11"/>
  <c r="N42" i="11"/>
  <c r="N24" i="11"/>
  <c r="O77" i="11"/>
  <c r="O68" i="11"/>
  <c r="P50" i="11"/>
  <c r="O59" i="11"/>
  <c r="O76" i="11"/>
  <c r="P49" i="11"/>
  <c r="O67" i="11"/>
  <c r="O58" i="11"/>
  <c r="O112" i="11"/>
  <c r="O103" i="11"/>
  <c r="P85" i="11"/>
  <c r="O94" i="11"/>
  <c r="O14" i="11" l="1"/>
  <c r="O41" i="11"/>
  <c r="O23" i="11"/>
  <c r="O32" i="11"/>
  <c r="P6" i="11"/>
  <c r="O113" i="11"/>
  <c r="O104" i="11"/>
  <c r="P86" i="11"/>
  <c r="O95" i="11"/>
  <c r="P77" i="11"/>
  <c r="P68" i="11"/>
  <c r="P59" i="11"/>
  <c r="Q50" i="11"/>
  <c r="P105" i="11"/>
  <c r="P114" i="11"/>
  <c r="P96" i="11"/>
  <c r="Q87" i="11"/>
  <c r="P103" i="11"/>
  <c r="Q85" i="11"/>
  <c r="P94" i="11"/>
  <c r="P112" i="11"/>
  <c r="P66" i="11"/>
  <c r="Q48" i="11"/>
  <c r="P57" i="11"/>
  <c r="P75" i="11"/>
  <c r="Q84" i="11"/>
  <c r="P93" i="11"/>
  <c r="P111" i="11"/>
  <c r="P102" i="11"/>
  <c r="O8" i="11"/>
  <c r="O16" i="11" s="1"/>
  <c r="N34" i="11"/>
  <c r="N43" i="11"/>
  <c r="N25" i="11"/>
  <c r="Q51" i="11"/>
  <c r="P78" i="11"/>
  <c r="P69" i="11"/>
  <c r="P60" i="11"/>
  <c r="P92" i="11"/>
  <c r="P110" i="11"/>
  <c r="P101" i="11"/>
  <c r="Q83" i="11"/>
  <c r="P67" i="11"/>
  <c r="Q49" i="11"/>
  <c r="P58" i="11"/>
  <c r="P76" i="11"/>
  <c r="Q52" i="11"/>
  <c r="P70" i="11"/>
  <c r="P61" i="11"/>
  <c r="P79" i="11"/>
  <c r="P7" i="11"/>
  <c r="P15" i="11" s="1"/>
  <c r="O42" i="11"/>
  <c r="O33" i="11"/>
  <c r="O24" i="11"/>
  <c r="O5" i="11"/>
  <c r="O13" i="11" s="1"/>
  <c r="N40" i="11"/>
  <c r="N22" i="11"/>
  <c r="N31" i="11"/>
  <c r="Q9" i="11"/>
  <c r="Q17" i="11" s="1"/>
  <c r="P26" i="11"/>
  <c r="P44" i="11"/>
  <c r="P35" i="11"/>
  <c r="P14" i="11" l="1"/>
  <c r="P41" i="11"/>
  <c r="Q6" i="11"/>
  <c r="P32" i="11"/>
  <c r="P23" i="11"/>
  <c r="P104" i="11"/>
  <c r="P113" i="11"/>
  <c r="P95" i="11"/>
  <c r="Q86" i="11"/>
  <c r="Q76" i="11"/>
  <c r="Q67" i="11"/>
  <c r="Q58" i="11"/>
  <c r="R49" i="11"/>
  <c r="R48" i="11"/>
  <c r="Q57" i="11"/>
  <c r="Q75" i="11"/>
  <c r="Q66" i="11"/>
  <c r="R9" i="11"/>
  <c r="R17" i="11" s="1"/>
  <c r="Q35" i="11"/>
  <c r="Q26" i="11"/>
  <c r="Q44" i="11"/>
  <c r="Q7" i="11"/>
  <c r="Q15" i="11" s="1"/>
  <c r="P42" i="11"/>
  <c r="P33" i="11"/>
  <c r="P24" i="11"/>
  <c r="P8" i="11"/>
  <c r="P16" i="11" s="1"/>
  <c r="O25" i="11"/>
  <c r="O43" i="11"/>
  <c r="O34" i="11"/>
  <c r="R87" i="11"/>
  <c r="Q105" i="11"/>
  <c r="Q114" i="11"/>
  <c r="Q96" i="11"/>
  <c r="R83" i="11"/>
  <c r="Q92" i="11"/>
  <c r="Q110" i="11"/>
  <c r="Q101" i="11"/>
  <c r="R50" i="11"/>
  <c r="Q77" i="11"/>
  <c r="Q68" i="11"/>
  <c r="Q59" i="11"/>
  <c r="Q94" i="11"/>
  <c r="R85" i="11"/>
  <c r="Q112" i="11"/>
  <c r="Q103" i="11"/>
  <c r="P5" i="11"/>
  <c r="P13" i="11" s="1"/>
  <c r="O40" i="11"/>
  <c r="O22" i="11"/>
  <c r="O31" i="11"/>
  <c r="R52" i="11"/>
  <c r="Q70" i="11"/>
  <c r="Q79" i="11"/>
  <c r="Q61" i="11"/>
  <c r="R51" i="11"/>
  <c r="Q78" i="11"/>
  <c r="Q69" i="11"/>
  <c r="Q60" i="11"/>
  <c r="Q93" i="11"/>
  <c r="R84" i="11"/>
  <c r="Q111" i="11"/>
  <c r="Q102" i="11"/>
  <c r="Q14" i="11" l="1"/>
  <c r="Q32" i="11"/>
  <c r="Q23" i="11"/>
  <c r="Q41" i="11"/>
  <c r="R6" i="11"/>
  <c r="Q113" i="11"/>
  <c r="Q104" i="11"/>
  <c r="Q95" i="11"/>
  <c r="R86" i="11"/>
  <c r="Q5" i="11"/>
  <c r="Q13" i="11" s="1"/>
  <c r="P22" i="11"/>
  <c r="P31" i="11"/>
  <c r="P40" i="11"/>
  <c r="R58" i="11"/>
  <c r="R76" i="11"/>
  <c r="R67" i="11"/>
  <c r="R68" i="11"/>
  <c r="R59" i="11"/>
  <c r="R77" i="11"/>
  <c r="R57" i="11"/>
  <c r="R75" i="11"/>
  <c r="R66" i="11"/>
  <c r="R93" i="11"/>
  <c r="R111" i="11"/>
  <c r="R102" i="11"/>
  <c r="R94" i="11"/>
  <c r="R112" i="11"/>
  <c r="R103" i="11"/>
  <c r="R78" i="11"/>
  <c r="R69" i="11"/>
  <c r="R60" i="11"/>
  <c r="R105" i="11"/>
  <c r="R114" i="11"/>
  <c r="R96" i="11"/>
  <c r="R70" i="11"/>
  <c r="R79" i="11"/>
  <c r="R61" i="11"/>
  <c r="R110" i="11"/>
  <c r="R101" i="11"/>
  <c r="R92" i="11"/>
  <c r="Q8" i="11"/>
  <c r="Q16" i="11" s="1"/>
  <c r="P25" i="11"/>
  <c r="P43" i="11"/>
  <c r="P34" i="11"/>
  <c r="R26" i="11"/>
  <c r="R44" i="11"/>
  <c r="R35" i="11"/>
  <c r="R7" i="11"/>
  <c r="R15" i="11" s="1"/>
  <c r="Q33" i="11"/>
  <c r="Q24" i="11"/>
  <c r="Q42" i="11"/>
  <c r="R14" i="11" l="1"/>
  <c r="R41" i="11"/>
  <c r="R32" i="11"/>
  <c r="R23" i="11"/>
  <c r="R113" i="11"/>
  <c r="R104" i="11"/>
  <c r="R95" i="11"/>
  <c r="R8" i="11"/>
  <c r="R16" i="11" s="1"/>
  <c r="Q43" i="11"/>
  <c r="Q34" i="11"/>
  <c r="Q25" i="11"/>
  <c r="R24" i="11"/>
  <c r="R42" i="11"/>
  <c r="R33" i="11"/>
  <c r="R5" i="11"/>
  <c r="R13" i="11" s="1"/>
  <c r="Q22" i="11"/>
  <c r="Q40" i="11"/>
  <c r="Q31" i="11"/>
  <c r="R31" i="11" l="1"/>
  <c r="R22" i="11"/>
  <c r="R40" i="11"/>
  <c r="R43" i="11"/>
  <c r="R25" i="11"/>
  <c r="R34" i="11"/>
  <c r="E17" i="9" l="1"/>
  <c r="B40" i="9"/>
  <c r="B22" i="9" l="1"/>
  <c r="C40" i="9"/>
  <c r="G40" i="9" s="1"/>
  <c r="C58" i="9" l="1"/>
  <c r="G58" i="9" s="1"/>
  <c r="C59" i="9"/>
  <c r="G59" i="9" s="1"/>
  <c r="C22" i="9"/>
  <c r="C18" i="9" l="1"/>
  <c r="D18" i="9" s="1"/>
  <c r="E18" i="9" s="1"/>
  <c r="C61" i="9"/>
</calcChain>
</file>

<file path=xl/comments1.xml><?xml version="1.0" encoding="utf-8"?>
<comments xmlns="http://schemas.openxmlformats.org/spreadsheetml/2006/main">
  <authors>
    <author>Jeff Schwein</author>
  </authors>
  <commentList>
    <comment ref="A23" authorId="0" shapeId="0">
      <text>
        <r>
          <rPr>
            <b/>
            <sz val="9"/>
            <color indexed="81"/>
            <rFont val="Tahoma"/>
            <family val="2"/>
          </rPr>
          <t>Jeff Schwein:</t>
        </r>
        <r>
          <rPr>
            <sz val="9"/>
            <color indexed="81"/>
            <rFont val="Tahoma"/>
            <family val="2"/>
          </rPr>
          <t xml:space="preserve">
SRTA
</t>
        </r>
      </text>
    </comment>
  </commentList>
</comments>
</file>

<file path=xl/sharedStrings.xml><?xml version="1.0" encoding="utf-8"?>
<sst xmlns="http://schemas.openxmlformats.org/spreadsheetml/2006/main" count="1250" uniqueCount="439">
  <si>
    <t>Pavement</t>
  </si>
  <si>
    <t>Other Amenities</t>
  </si>
  <si>
    <t>Lighting</t>
  </si>
  <si>
    <t>Item</t>
  </si>
  <si>
    <t>Yreka Transit Center</t>
  </si>
  <si>
    <t>Rays Market</t>
  </si>
  <si>
    <t>134 Morgan</t>
  </si>
  <si>
    <t>Dunsmuir Station</t>
  </si>
  <si>
    <t>OEM</t>
  </si>
  <si>
    <t>Model/Type</t>
  </si>
  <si>
    <t>Length</t>
  </si>
  <si>
    <t>Price</t>
  </si>
  <si>
    <t>BYD</t>
  </si>
  <si>
    <t>Heavy Duty, En-Route &amp; Plug-In Electric</t>
  </si>
  <si>
    <t>30'</t>
  </si>
  <si>
    <t>35'</t>
  </si>
  <si>
    <t>40'</t>
  </si>
  <si>
    <t>Heavy Duty, Coach</t>
  </si>
  <si>
    <t>45’</t>
  </si>
  <si>
    <t>60'</t>
  </si>
  <si>
    <t>Gillig</t>
  </si>
  <si>
    <t>Heavy Duty Coach, Allison Hybrid</t>
  </si>
  <si>
    <t>30' Low Floor</t>
  </si>
  <si>
    <t>35' Low Floor</t>
  </si>
  <si>
    <t>Heavy Duty Coach, BAE Hybrid</t>
  </si>
  <si>
    <t>40' Low Floor</t>
  </si>
  <si>
    <t>GreenPower</t>
  </si>
  <si>
    <t>Heavy Duty, Plug in Electric</t>
  </si>
  <si>
    <t>45'</t>
  </si>
  <si>
    <t>New Flyer</t>
  </si>
  <si>
    <t>60' Low Floor</t>
  </si>
  <si>
    <t>Heavy Duty, En-Route Electric</t>
  </si>
  <si>
    <t>Nova</t>
  </si>
  <si>
    <t>Proterra</t>
  </si>
  <si>
    <t>Qty</t>
  </si>
  <si>
    <t>Total</t>
  </si>
  <si>
    <t xml:space="preserve">2 Battery Electric 30-35' Buses </t>
  </si>
  <si>
    <t>Land Acquisition</t>
  </si>
  <si>
    <t>Land Lease</t>
  </si>
  <si>
    <t>Site Improvements</t>
  </si>
  <si>
    <t>Access Fee</t>
  </si>
  <si>
    <t>Landscaping</t>
  </si>
  <si>
    <t>Sidewalks</t>
  </si>
  <si>
    <t>Striping</t>
  </si>
  <si>
    <t>Depot Charging</t>
  </si>
  <si>
    <t>Opportunity Charging Station (en-route)</t>
  </si>
  <si>
    <t>Transformer Install</t>
  </si>
  <si>
    <t>Bringing Power to Site</t>
  </si>
  <si>
    <t>N/A</t>
  </si>
  <si>
    <t>Yreka</t>
  </si>
  <si>
    <t>Weed</t>
  </si>
  <si>
    <t>Mt. Shasta</t>
  </si>
  <si>
    <t xml:space="preserve">Dunsmuir  </t>
  </si>
  <si>
    <t>Trips Per Day</t>
  </si>
  <si>
    <t>Cost Per Day</t>
  </si>
  <si>
    <t>Mileage Per Year</t>
  </si>
  <si>
    <t>Mileage Per Day</t>
  </si>
  <si>
    <t>Cost                                 (Avg. or /mile)</t>
  </si>
  <si>
    <t>Total Capital Cost</t>
  </si>
  <si>
    <t>Operating Costs</t>
  </si>
  <si>
    <t>Annual Cost</t>
  </si>
  <si>
    <t>Backbone</t>
  </si>
  <si>
    <t>Siskiyou</t>
  </si>
  <si>
    <t>Trinity</t>
  </si>
  <si>
    <t>North Valley</t>
  </si>
  <si>
    <t>Lake</t>
  </si>
  <si>
    <t>Redding</t>
  </si>
  <si>
    <t>Red Bluff</t>
  </si>
  <si>
    <t>Williams</t>
  </si>
  <si>
    <t>SMF</t>
  </si>
  <si>
    <t>Sac Valley Station</t>
  </si>
  <si>
    <t>Sacramento</t>
  </si>
  <si>
    <t>Downtown Transit</t>
  </si>
  <si>
    <t>Turtle Bay</t>
  </si>
  <si>
    <t>Adobe Road</t>
  </si>
  <si>
    <t>5th Street</t>
  </si>
  <si>
    <t>8th/Cap Mall</t>
  </si>
  <si>
    <t>North Sac</t>
  </si>
  <si>
    <t>RT Storage Site</t>
  </si>
  <si>
    <t>RABA Maint. Yard</t>
  </si>
  <si>
    <t>Monthly</t>
  </si>
  <si>
    <t>Annual</t>
  </si>
  <si>
    <t>SYSTEM COSTS</t>
  </si>
  <si>
    <t>Total Ongoing Costs (System and Sites)</t>
  </si>
  <si>
    <t>Y</t>
  </si>
  <si>
    <t>N</t>
  </si>
  <si>
    <t>Hourly Operating Cost</t>
  </si>
  <si>
    <t>2012/13 actual operating costs of existing line</t>
  </si>
  <si>
    <t>Lake County Transit Authority’s 2015 Transit Development Marketing Plan</t>
  </si>
  <si>
    <t>Round Trips / Day</t>
  </si>
  <si>
    <t>Trinity Transit Short Range Transit Development Plan 2014‐18 and Coordinated Plan Update</t>
  </si>
  <si>
    <t>Miles One-Way</t>
  </si>
  <si>
    <t>Siskiyou County Short Range Transit Plan 2014-2018</t>
  </si>
  <si>
    <t>Cost Per Mile of current system</t>
  </si>
  <si>
    <t>Ops/Maintenance fraction of operating cost</t>
  </si>
  <si>
    <t>Fuel fraction of operating cost</t>
  </si>
  <si>
    <t>Figure 11-­‐6 Best Estimate Scenario Operating Costs: FY 2015-­‐16 to FY 2019-­‐20</t>
  </si>
  <si>
    <t>Best Estimate</t>
  </si>
  <si>
    <t>FY 15-­‐16</t>
  </si>
  <si>
    <t>FY 16-­‐17</t>
  </si>
  <si>
    <t>FY 17-­‐18</t>
  </si>
  <si>
    <t>FY 18-­‐19</t>
  </si>
  <si>
    <t>FY 19-­‐20</t>
  </si>
  <si>
    <t>Projected</t>
  </si>
  <si>
    <t>Ops/Maintenance Contract</t>
  </si>
  <si>
    <t>LTA Administration Contract</t>
  </si>
  <si>
    <t>Fuel</t>
  </si>
  <si>
    <t>Marketing/Printing</t>
  </si>
  <si>
    <t>Professional Services</t>
  </si>
  <si>
    <t>Mobility Management</t>
  </si>
  <si>
    <t>Utilities</t>
  </si>
  <si>
    <t>Facilities Maintenance</t>
  </si>
  <si>
    <t>Security Services</t>
  </si>
  <si>
    <t>Non-­‐vehicle insurance</t>
  </si>
  <si>
    <t>Annual Operating Cost Savings of Electric Buses</t>
  </si>
  <si>
    <t>Operating Costs of Line WITHOUT Fuel &amp; Maintenance (using Lake %)</t>
  </si>
  <si>
    <t>average projected annual cost</t>
  </si>
  <si>
    <t>Existent?</t>
  </si>
  <si>
    <t>Yr 1</t>
  </si>
  <si>
    <t>Yr2</t>
  </si>
  <si>
    <t>Yr 3</t>
  </si>
  <si>
    <t>Yr 4</t>
  </si>
  <si>
    <t>Yr 5</t>
  </si>
  <si>
    <t>Yr 6</t>
  </si>
  <si>
    <t>Yr 7</t>
  </si>
  <si>
    <t>Yr 8</t>
  </si>
  <si>
    <t>Yr 9</t>
  </si>
  <si>
    <t>Yr 10</t>
  </si>
  <si>
    <t>Yr 11</t>
  </si>
  <si>
    <t>Yr 12</t>
  </si>
  <si>
    <t>Yr 13</t>
  </si>
  <si>
    <t>Yr 14</t>
  </si>
  <si>
    <t>Yr 15</t>
  </si>
  <si>
    <t>Estimated Ridership Increase</t>
  </si>
  <si>
    <t>Phase 1</t>
  </si>
  <si>
    <t>Phase 2</t>
  </si>
  <si>
    <t>Phase 3</t>
  </si>
  <si>
    <t>Phase 4</t>
  </si>
  <si>
    <t>Phase 5</t>
  </si>
  <si>
    <t>Trip Fare (one way)</t>
  </si>
  <si>
    <t>Fare Increase</t>
  </si>
  <si>
    <t>Route Used for Analysis</t>
  </si>
  <si>
    <t>Annual Total Electric Line Annual Operation Costs</t>
  </si>
  <si>
    <t>5311 (f)</t>
  </si>
  <si>
    <t>COST CALCULATIONS</t>
  </si>
  <si>
    <t>SR 20/E St.</t>
  </si>
  <si>
    <t>Alternative Sites</t>
  </si>
  <si>
    <t>Average</t>
  </si>
  <si>
    <t>TOTAL COSTS</t>
  </si>
  <si>
    <t>I-5 BACKBONE COSTS</t>
  </si>
  <si>
    <t>FARE REVENUE PROJECTIONS</t>
  </si>
  <si>
    <t xml:space="preserve">Williams </t>
  </si>
  <si>
    <t>Interior bike racks</t>
  </si>
  <si>
    <t>Monitors</t>
  </si>
  <si>
    <t>Security cameras</t>
  </si>
  <si>
    <t>Bus tracking hardware/software</t>
  </si>
  <si>
    <t>WiFi</t>
  </si>
  <si>
    <t>Electrical outlets</t>
  </si>
  <si>
    <t>Window tinting</t>
  </si>
  <si>
    <t>Reclining Seats</t>
  </si>
  <si>
    <t>Folding Armrests and Footrests</t>
  </si>
  <si>
    <t>Retractable Window Shades</t>
  </si>
  <si>
    <t>Interior Overhead Storage</t>
  </si>
  <si>
    <t>Individual Overhead Air Flow Control</t>
  </si>
  <si>
    <t>Individual overhead reading lights</t>
  </si>
  <si>
    <t>Premium Sound System with Microphone</t>
  </si>
  <si>
    <t>Full Service Lavatory</t>
  </si>
  <si>
    <t>Tables</t>
  </si>
  <si>
    <t>Refreshment Bar</t>
  </si>
  <si>
    <t>Extra-Large Capacity Storage Bays Under Bus</t>
  </si>
  <si>
    <t>Water, Ice and Cups by Request</t>
  </si>
  <si>
    <t>Service animal access</t>
  </si>
  <si>
    <t>Vehicle Amenities</t>
  </si>
  <si>
    <t>30 and 35 Footer Buses</t>
  </si>
  <si>
    <t>Available Battery Electric Vehicles</t>
  </si>
  <si>
    <t>f</t>
  </si>
  <si>
    <t>Backbone Vehicles</t>
  </si>
  <si>
    <t>Feeder Vehicles</t>
  </si>
  <si>
    <t>Fraction of total operating cost that goes to fuel and Op Maint.</t>
  </si>
  <si>
    <t>Site Maintenance Costs</t>
  </si>
  <si>
    <t>SITE SPECIFIC-ONGOING COSTS (included above)</t>
  </si>
  <si>
    <t>(1) SITE SPECIFIC-CAPITAL COSTS (included above)</t>
  </si>
  <si>
    <t>45' Battery Electric Coaches (2)</t>
  </si>
  <si>
    <t>Operating Costs (estimated) (3)</t>
  </si>
  <si>
    <t>Annual Service Miles</t>
  </si>
  <si>
    <t>Total Annual Operating Costs of System</t>
  </si>
  <si>
    <t>Notes and Sources:</t>
  </si>
  <si>
    <t>(3) Based on existing North State transit systems minus estimated operations, maintenance and fuel savings (see "Operating Cost Calcs" worksheet)</t>
  </si>
  <si>
    <t>Performance Monitoring (5)</t>
  </si>
  <si>
    <t>(5) Performance monitoring taken from CALSTART quote (12/21/17)</t>
  </si>
  <si>
    <t>(4) Maint Costs for DT Redding Transit Ctr. From existing lease agreement.</t>
  </si>
  <si>
    <t>Vehicle Amenities (2.5)</t>
  </si>
  <si>
    <t>(2.5) from CALSTART materials (TBD)</t>
  </si>
  <si>
    <t>(2)  from CALSTART materials (12/21/17) (worksheet "vehicle costs")</t>
  </si>
  <si>
    <t>TDA --&gt; Loan Fund</t>
  </si>
  <si>
    <t>HVIP Program (capital) (1)</t>
  </si>
  <si>
    <t>(1) $125K/bus X 10 buses (5 45' coaches, and 5 35' feeders)</t>
  </si>
  <si>
    <t xml:space="preserve">Total System Costs </t>
  </si>
  <si>
    <t xml:space="preserve">Total Site Capital Costs </t>
  </si>
  <si>
    <t>Passenger Parking</t>
  </si>
  <si>
    <t>I-5 Backbone</t>
  </si>
  <si>
    <t>Siskiyou Feeder</t>
  </si>
  <si>
    <t>North Valley Feeder</t>
  </si>
  <si>
    <t>Lake Feeder</t>
  </si>
  <si>
    <t>Energy Costs</t>
  </si>
  <si>
    <t>Signage/Wayfinding</t>
  </si>
  <si>
    <t>Ongoing Marketing</t>
  </si>
  <si>
    <t>Launch Marketing</t>
  </si>
  <si>
    <t>Program Administration</t>
  </si>
  <si>
    <t>Site Maintenance Cost</t>
  </si>
  <si>
    <t>Site Maintenance Costs RABA DT Transit</t>
  </si>
  <si>
    <t>Avg</t>
  </si>
  <si>
    <t>Ticketing Administration (annual license fee)</t>
  </si>
  <si>
    <t>Energy Cost (vehicle charging)</t>
  </si>
  <si>
    <t>Bus Depot Lakeport</t>
  </si>
  <si>
    <t>Clearlake</t>
  </si>
  <si>
    <t>Solar Installation</t>
  </si>
  <si>
    <t>Block Ticket Sales (govt., social services, and business)</t>
  </si>
  <si>
    <t>LCTOP-Shasta</t>
  </si>
  <si>
    <t>LCTOP-Modoc</t>
  </si>
  <si>
    <t>LCTOP-Glenn</t>
  </si>
  <si>
    <t>will only be used if other funds cannot cover needs.</t>
  </si>
  <si>
    <t>Notes</t>
  </si>
  <si>
    <t>based on estimate discussion with MCTC.</t>
  </si>
  <si>
    <t>based on estimate discussion with GCTC.</t>
  </si>
  <si>
    <t>Advertising</t>
  </si>
  <si>
    <t>LCTOP-Other NSSR</t>
  </si>
  <si>
    <t>CMAQ Contribution to North Valley Feeder Line</t>
  </si>
  <si>
    <t>Tehama CMAQ contribution to NV Feeder</t>
  </si>
  <si>
    <t>Transit and Intercity Rail Capital Program-2018 Request</t>
  </si>
  <si>
    <t xml:space="preserve">Funding </t>
  </si>
  <si>
    <t>Based on 17/18 program for zero-emission trucks and buses.</t>
  </si>
  <si>
    <t>https://www.arb.ca.gov/msprog/mailouts/msc1614/msc1614.pdf</t>
  </si>
  <si>
    <t>Energy Economy Ratio (EER)</t>
  </si>
  <si>
    <t>EER represents efficiency of a fuel as used in a powertrain as compared to a reference fuel.</t>
  </si>
  <si>
    <t>Trips/Day</t>
  </si>
  <si>
    <t>Kwh/180 m trip</t>
  </si>
  <si>
    <t>Miles</t>
  </si>
  <si>
    <t>Kwh/mile</t>
  </si>
  <si>
    <t>Miles/Day</t>
  </si>
  <si>
    <t>Kwh/day</t>
  </si>
  <si>
    <t>Kilowatt Hours Per Day Calculation</t>
  </si>
  <si>
    <t>Credit Revenue     (cents per KWh)</t>
  </si>
  <si>
    <t>Electric Bus</t>
  </si>
  <si>
    <t>Credit Revenue</t>
  </si>
  <si>
    <t>LCFS Credit Price (@$100)</t>
  </si>
  <si>
    <t>https://www.arb.ca.gov/fuels/lcfs/guidance/regguidance_16-04.pdf</t>
  </si>
  <si>
    <t>Low Carbon Fuel Standard Electricity Program</t>
  </si>
  <si>
    <t>Budget Item</t>
  </si>
  <si>
    <t>Total Capital Costs</t>
  </si>
  <si>
    <t>Ameneties estimate from CALSTART</t>
  </si>
  <si>
    <t>From Low Carbon Fuel Standard Calcs. See LCFS workbook.</t>
  </si>
  <si>
    <t>Total Capital Revenue</t>
  </si>
  <si>
    <t>Total Costs</t>
  </si>
  <si>
    <t>Revenue</t>
  </si>
  <si>
    <t>Difference in Cost vs Revenue</t>
  </si>
  <si>
    <t>Total TIRCP Request</t>
  </si>
  <si>
    <t>SJJPA savings agreement or direct from State in-lieu of Amtrak Thruway Bus funding.</t>
  </si>
  <si>
    <t>Ticket sales to government, social service and business.</t>
  </si>
  <si>
    <t>Based on preliminary discussions with NSSR agencies.</t>
  </si>
  <si>
    <t>See Fare Analysis workbook.</t>
  </si>
  <si>
    <t>Service Line</t>
  </si>
  <si>
    <t>Quantity</t>
  </si>
  <si>
    <t>Type</t>
  </si>
  <si>
    <t>Style</t>
  </si>
  <si>
    <t>Battery Electric</t>
  </si>
  <si>
    <t>Coach</t>
  </si>
  <si>
    <t>Siskiyou Feeder Line</t>
  </si>
  <si>
    <t>Low Floor</t>
  </si>
  <si>
    <t>Shasta Region Feeder Line</t>
  </si>
  <si>
    <t>North Valley Feeder Line</t>
  </si>
  <si>
    <t>Lake County Feeder Line</t>
  </si>
  <si>
    <t>Redding canopy based on RABA contractor estimate (Award Bid Schedule No. 0060) and Lake estimate is based on Lake County Transit Energy Use Reduction Plan (2015)</t>
  </si>
  <si>
    <t>Digital Validation on Farebox</t>
  </si>
  <si>
    <t>Digital Validation for whole fleet</t>
  </si>
  <si>
    <t>Cost per Vehicle for Fleet Digital Validation</t>
  </si>
  <si>
    <t>In-vehicle bluetooth beacons</t>
  </si>
  <si>
    <t>External hardware validator</t>
  </si>
  <si>
    <t>Ticketing Equipment</t>
  </si>
  <si>
    <t>Ticketing Equipment from NN email January 5.</t>
  </si>
  <si>
    <t>Ticketing Equipment Costs</t>
  </si>
  <si>
    <t>From CALSTART fleet cost estimate memo.</t>
  </si>
  <si>
    <t xml:space="preserve">From CALSTART phone call /bus. Includes AVL, bike racks. </t>
  </si>
  <si>
    <t>Based on existing North State transit systems minus estimated operations, maintenance and fuel savings (see "Operating Cost Calcs" worksheet)</t>
  </si>
  <si>
    <t>from CALSTART materials (12/21/17) (worksheet "vehicle costs")</t>
  </si>
  <si>
    <t>From RABA existing lease which was escalated to meet 2017</t>
  </si>
  <si>
    <t>Estimated $500/ site for lease agreements.</t>
  </si>
  <si>
    <t>From CALSTART cost estimate.</t>
  </si>
  <si>
    <t>Calculation based on CALSTART analysis.</t>
  </si>
  <si>
    <t>Colusa</t>
  </si>
  <si>
    <t>Willows</t>
  </si>
  <si>
    <t>Willows Maintenance Yard</t>
  </si>
  <si>
    <t>Stop 2</t>
  </si>
  <si>
    <t>Stop 3</t>
  </si>
  <si>
    <t xml:space="preserve">Stop 4 </t>
  </si>
  <si>
    <t>Burney</t>
  </si>
  <si>
    <t>Shasta Urban Feeder</t>
  </si>
  <si>
    <t>OPERATING COSTS</t>
  </si>
  <si>
    <t>CAPITAL COSTS</t>
  </si>
  <si>
    <t>LCTOP-NV Feeder (provided from Glenn)</t>
  </si>
  <si>
    <t>LCTOP-Modoc (Backbone)</t>
  </si>
  <si>
    <t>State Intercity Rail Funding</t>
  </si>
  <si>
    <t>Dignity Health</t>
  </si>
  <si>
    <t>Transit Shelters</t>
  </si>
  <si>
    <t>See E Bus Fleet worksheet + annual fees built in as capital costs</t>
  </si>
  <si>
    <t>N Street Location. SMUD first said minimum upgrades were $200k which appears in CALSTART memo. Ralph Troute in email on 1/8/18, said $62,500 not including labor.</t>
  </si>
  <si>
    <t>Days Per Year</t>
  </si>
  <si>
    <t>Miles /year</t>
  </si>
  <si>
    <t>KWh/yMile</t>
  </si>
  <si>
    <t>kWh/year</t>
  </si>
  <si>
    <t>transit.dot.gov 2014 Agency Profiles</t>
  </si>
  <si>
    <t>Assumptions</t>
  </si>
  <si>
    <t>4 Round trips per day:</t>
  </si>
  <si>
    <t>Trips</t>
  </si>
  <si>
    <t>Days/week</t>
  </si>
  <si>
    <t>RABA</t>
  </si>
  <si>
    <t>Weeks/Year</t>
  </si>
  <si>
    <t>Formula</t>
  </si>
  <si>
    <t>Source</t>
  </si>
  <si>
    <t>Sum Maintenance + Fuel fraction</t>
  </si>
  <si>
    <t>Glenn Fuel+Maintenance fraction. Siskiyou system cost/mile.</t>
  </si>
  <si>
    <t>Glenn Fuel+Maintenance fraction. Lake system cost/mile.</t>
  </si>
  <si>
    <t>3 Round Trips per day:</t>
  </si>
  <si>
    <t>($3.15) x 2*(2trips/day) x (50mi/trip) x (7*52) x (1-0.3017)</t>
  </si>
  <si>
    <t>($3.34) x 2*(3trips/day) x (100 mi/trip) x (7*52) x (1-0.3017)</t>
  </si>
  <si>
    <t>Fraction of operating costs to fuel&amp;maintenance</t>
  </si>
  <si>
    <t>This fraction was used to reflect the fraction of operating costs used for fuel and bus maintenance, as Glenn Ride's budget report contained the most precise breakdown of costs.</t>
  </si>
  <si>
    <t>Low Carbon Fuel Strategy Calculations</t>
  </si>
  <si>
    <t xml:space="preserve">Total </t>
  </si>
  <si>
    <t>SISKIYOU FEEDER</t>
  </si>
  <si>
    <t>Shelters</t>
  </si>
  <si>
    <t>NORTH VALLEY FEEDER</t>
  </si>
  <si>
    <t>LAKE COUNTY FEEDER</t>
  </si>
  <si>
    <t>Total Annual Operating Costs of Line with regular diesel or gas engines (non-electric) (5)</t>
  </si>
  <si>
    <t>Glenn Fuel+Maintenance fraction. Avg. cost/mile.</t>
  </si>
  <si>
    <t>Avg. per mile is RABA, Lake, and Siskiyou combined</t>
  </si>
  <si>
    <t>($4.12) x 2*(4trips/day) x (73 mi/trip) x (7*52) x (1-0.3017)</t>
  </si>
  <si>
    <t>($4.12) x 2*(4trips/day) x (166 mi/trip) x (7*52) x (1-0.3017)</t>
  </si>
  <si>
    <t>SHASTA URBAN FEEDER</t>
  </si>
  <si>
    <t>Shasta Urban</t>
  </si>
  <si>
    <t>Ticketing Admin (annual license fee)</t>
  </si>
  <si>
    <t>Total Operating Need</t>
  </si>
  <si>
    <t>TDA loan fund will only be used if necessary and will need to be paid back in Year 2.</t>
  </si>
  <si>
    <t>Backbone and existing feeder connections</t>
  </si>
  <si>
    <t>Adding North Valley Feeder</t>
  </si>
  <si>
    <t>Adding Lake/Mendocino Feeder</t>
  </si>
  <si>
    <t>Adding Siskiyou Feeder</t>
  </si>
  <si>
    <t>All Feeders</t>
  </si>
  <si>
    <t>Annual Operating Cost</t>
  </si>
  <si>
    <t xml:space="preserve">Revenue based on $25 for Backbone and $20 for feeders. </t>
  </si>
  <si>
    <t>Revenue (HVIP) CCI</t>
  </si>
  <si>
    <t>CCI Investments</t>
  </si>
  <si>
    <t>Capital Budget Summary</t>
  </si>
  <si>
    <t>Operating Budget Summary</t>
  </si>
  <si>
    <t>Project Planning</t>
  </si>
  <si>
    <t>Environmental Review</t>
  </si>
  <si>
    <t>Consultant Selection</t>
  </si>
  <si>
    <t>Project Implementation</t>
  </si>
  <si>
    <t>Partership Agreements</t>
  </si>
  <si>
    <t>Project Administration</t>
  </si>
  <si>
    <t>Feeder</t>
  </si>
  <si>
    <t>Percent of Backbone Service</t>
  </si>
  <si>
    <t>Percent of Total Service</t>
  </si>
  <si>
    <t>`</t>
  </si>
  <si>
    <t>7 larger collaborating partners, 60 hours spent with each, at a consultant/lawyer rate of $200 
2 smaller transit agencies, 30 hours spent with each, at a consultant/lawyer rate of $200
SRTA participates at 10%. Feeders cost is 54% of total project costs.</t>
  </si>
  <si>
    <t>Percentage of Total Project Cost</t>
  </si>
  <si>
    <t>15 possible collaborating agencies, 30 hours spent communicating with each, at a general rate of $150 for staff ($150 based on estimated SRTA staff direct personell and indirect costs )</t>
  </si>
  <si>
    <t>OPERATING REVENUE-COMMITTED (Year 1)</t>
  </si>
  <si>
    <t>Rail Provider Reimbursements</t>
  </si>
  <si>
    <t>Total Operating Revenue - Committed (Year 1)</t>
  </si>
  <si>
    <t>Total Operating Revenue - Uncommitted (Year 1)</t>
  </si>
  <si>
    <t>Based on estimate from Blue Line Media projected revenue, $1500/bus &amp; shelter large ad, $125 interior ad, $150 bench ads. -15% fee.</t>
  </si>
  <si>
    <t>Commission from JPAs or Amtrak for train ticketed passengers. 10 trips/day @ $50</t>
  </si>
  <si>
    <t>Backbone Annual Ridership</t>
  </si>
  <si>
    <t>Siskiyou Annual Ridership</t>
  </si>
  <si>
    <t>Shasta Urban Annual Ridership</t>
  </si>
  <si>
    <t>North Valley Feeder Annual Ridership</t>
  </si>
  <si>
    <t>Lake Feeder Annual Ridership</t>
  </si>
  <si>
    <t>Annual Ridership</t>
  </si>
  <si>
    <t>OPERATING REVENUE-COMMITTED (Year 2)</t>
  </si>
  <si>
    <t>Total Operating Revenue - Committed (Year 2)</t>
  </si>
  <si>
    <t>Total Operating Revenue - Uncommitted (Year 2)</t>
  </si>
  <si>
    <t>FY 2016-17</t>
  </si>
  <si>
    <t>Per Service Hour</t>
  </si>
  <si>
    <t>Per Revenue Mile</t>
  </si>
  <si>
    <t>Expenses</t>
  </si>
  <si>
    <t>Units</t>
  </si>
  <si>
    <t>Per Unit 2016-17</t>
  </si>
  <si>
    <t>Fuel and Lubricants</t>
  </si>
  <si>
    <t>Budget:</t>
  </si>
  <si>
    <t>Net Per Unit 2016-17</t>
  </si>
  <si>
    <t>Adjust for 2% Inflation 17-18</t>
  </si>
  <si>
    <t>Adjust for 2% Inflation 18-19</t>
  </si>
  <si>
    <t>Adjust for 2% Inflation 19-20</t>
  </si>
  <si>
    <t>Note: Combined Fixed Route and Burney Express</t>
  </si>
  <si>
    <t>Cost per service hour (minus Fuel and Maint.)</t>
  </si>
  <si>
    <t>Annual Service Hours</t>
  </si>
  <si>
    <t>Based on RABA operating cost/service hour X Annual Service Hour</t>
  </si>
  <si>
    <t>including coordination and consolidation of existing programs. State is re-examining policy for improved service.</t>
  </si>
  <si>
    <t>TDA --&gt; Local</t>
  </si>
  <si>
    <t>From CALSTART  29,900 kWh/month – Solar System: ~280kW DC; Project Cost at $2.00/Wdc</t>
  </si>
  <si>
    <t>From CALSTART 41,032 kWh/month – Solar System: ~400kW DC; Project Cost at $2.00/Wdc</t>
  </si>
  <si>
    <t xml:space="preserve"> </t>
  </si>
  <si>
    <t>8 trips a day a year $20 vouchers.</t>
  </si>
  <si>
    <t>vouchers for feeders based on fares.</t>
  </si>
  <si>
    <t>From CALSTART phone call /bus. Includes AVL, bike racks. Check it</t>
  </si>
  <si>
    <t>from CALSTART materials (12/21/17) (worksheet "vehicle costs").</t>
  </si>
  <si>
    <t>Discount Rider Passes</t>
  </si>
  <si>
    <t>8 trips a day @ 365/yr @ $20 vouchers.</t>
  </si>
  <si>
    <t xml:space="preserve">Based on cost from Meeker &amp; Associates. </t>
  </si>
  <si>
    <t>Based on information from Reach Strategies.</t>
  </si>
  <si>
    <t>8 trips a day @ 260/yr @ $20 vouchers.</t>
  </si>
  <si>
    <t>Bus Maintenance Warranty</t>
  </si>
  <si>
    <t>Discounted Rider Passes</t>
  </si>
  <si>
    <t>Fare Revenue (based on $20 for Backbone and $30 for other routes)</t>
  </si>
  <si>
    <t>TDA will only be used if shortfalls are recognized.</t>
  </si>
  <si>
    <t>Operating Committed (Year 1)</t>
  </si>
  <si>
    <t>Feeder Fare Integration #1 (Siskiyou)</t>
  </si>
  <si>
    <t>Feeder Fare Integration #1 (Shasta)</t>
  </si>
  <si>
    <t>Feeder Fare Integration #1 (North Valley)</t>
  </si>
  <si>
    <t>Feeder Fare Integration #1 (Lake)</t>
  </si>
  <si>
    <t>Capital Budget by Service Route</t>
  </si>
  <si>
    <t>Projected Operating Revenue-Committed</t>
  </si>
  <si>
    <t>Operating Committed (Year 2)</t>
  </si>
  <si>
    <t>"commission" from JPAs or Amtrak for train ticketed passengers. 10 trips/day @ $50</t>
  </si>
  <si>
    <t>PREFERRED OPERATING REVENUE-UNDER DEVELOPMENT - NOT YET COMMITTED (Year 1)</t>
  </si>
  <si>
    <t>PREFERRED OPERATING REVENUE-UNDER DEVELOPMENT - NOT YET COMMITTED (Year 2)</t>
  </si>
  <si>
    <t>System Wide Total</t>
  </si>
  <si>
    <t>Local TDA and LCTOP funds can guarantee operations if other revenues such as fares fall short.  However, SRTA is showing several other funding sources in the table as “Preferred Operating Under Development” that are more appropriate for intercity bus services but not yet guaranteed.  To the extent these funds under development become committed, local TDA funds and LCTOP funds will shift to complimentary transit needs and capital needs not in the TIRCP project scope</t>
  </si>
  <si>
    <t>s</t>
  </si>
  <si>
    <t>License fee for softward.</t>
  </si>
  <si>
    <t>From CALSTART</t>
  </si>
  <si>
    <t>Based on RABA solar analysis and estimates from Dignity Health analysis.</t>
  </si>
  <si>
    <t>Based on discussions with REU.</t>
  </si>
  <si>
    <t>Based on cost in CALSTART estimate memo. (Chargepoint)</t>
  </si>
  <si>
    <t>Based on estimate of cost from PG&amp;E.</t>
  </si>
  <si>
    <t>N/a</t>
  </si>
  <si>
    <t>Based on ICF Lake Transit Energy Reduction Strategy</t>
  </si>
  <si>
    <t>Based on estimate of cost from REU.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</si>
</sst>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quot;$&quot;\ #,##0"/>
    <numFmt numFmtId="166" formatCode="0.0000"/>
    <numFmt numFmtId="167" formatCode="_(* #,##0_);_(* \(#,##0\);_(*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1"/>
      <color rgb="FF000000"/>
      <name val="Calibri"/>
      <family val="2"/>
      <scheme val="minor"/>
    </font>
    <font>
      <sz val="11"/>
      <color rgb="FF000000"/>
      <name val="Calibri"/>
      <family val="2"/>
    </font>
    <font>
      <b/>
      <sz val="11"/>
      <color indexed="8"/>
      <name val="Calibri"/>
      <family val="2"/>
    </font>
    <font>
      <sz val="10"/>
      <name val="Times New Roman"/>
      <family val="1"/>
      <charset val="204"/>
    </font>
    <font>
      <b/>
      <sz val="10"/>
      <color indexed="8"/>
      <name val="Calibri"/>
      <family val="2"/>
    </font>
    <font>
      <sz val="10"/>
      <color indexed="8"/>
      <name val="Calibri"/>
      <family val="2"/>
    </font>
    <font>
      <sz val="10"/>
      <color indexed="8"/>
      <name val="Arial"/>
      <family val="2"/>
    </font>
    <font>
      <b/>
      <sz val="10"/>
      <color indexed="8"/>
      <name val="Arial"/>
      <family val="2"/>
    </font>
    <font>
      <b/>
      <sz val="12"/>
      <color theme="1"/>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sz val="10"/>
      <color rgb="FF222222"/>
      <name val="Calibri"/>
      <family val="2"/>
      <scheme val="minor"/>
    </font>
    <font>
      <b/>
      <sz val="10"/>
      <color theme="1"/>
      <name val="Calibri"/>
      <family val="2"/>
      <scheme val="minor"/>
    </font>
    <font>
      <sz val="11"/>
      <color rgb="FFFF66CC"/>
      <name val="Calibri"/>
      <family val="2"/>
      <scheme val="minor"/>
    </font>
    <font>
      <sz val="11"/>
      <name val="Calibri"/>
      <family val="2"/>
      <scheme val="minor"/>
    </font>
    <font>
      <b/>
      <sz val="16"/>
      <color theme="1"/>
      <name val="Calibri"/>
      <family val="2"/>
      <scheme val="minor"/>
    </font>
    <font>
      <sz val="9"/>
      <color indexed="81"/>
      <name val="Tahoma"/>
      <family val="2"/>
    </font>
    <font>
      <b/>
      <sz val="9"/>
      <color indexed="81"/>
      <name val="Tahoma"/>
      <family val="2"/>
    </font>
    <font>
      <b/>
      <sz val="11"/>
      <name val="Calibri"/>
      <family val="2"/>
      <scheme val="minor"/>
    </font>
    <font>
      <u/>
      <sz val="11"/>
      <color theme="10"/>
      <name val="Calibri"/>
      <family val="2"/>
      <scheme val="minor"/>
    </font>
    <font>
      <b/>
      <sz val="20"/>
      <color theme="1"/>
      <name val="Calibri"/>
      <family val="2"/>
      <scheme val="minor"/>
    </font>
    <font>
      <sz val="8"/>
      <color rgb="FF222222"/>
      <name val="Calibri"/>
      <family val="2"/>
      <scheme val="minor"/>
    </font>
  </fonts>
  <fills count="13">
    <fill>
      <patternFill patternType="none"/>
    </fill>
    <fill>
      <patternFill patternType="gray125"/>
    </fill>
    <fill>
      <patternFill patternType="solid">
        <fgColor theme="9" tint="0.3999755851924192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1"/>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rgb="FFFFFF00"/>
        <bgColor indexed="64"/>
      </patternFill>
    </fill>
    <fill>
      <patternFill patternType="solid">
        <fgColor theme="5" tint="0.59999389629810485"/>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D5D5D5"/>
      </bottom>
      <diagonal/>
    </border>
    <border>
      <left style="thin">
        <color rgb="FF000000"/>
      </left>
      <right style="thin">
        <color rgb="FF000000"/>
      </right>
      <top style="thin">
        <color rgb="FFD5D5D5"/>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double">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465">
    <xf numFmtId="0" fontId="0" fillId="0" borderId="0" xfId="0"/>
    <xf numFmtId="44" fontId="0" fillId="0" borderId="0" xfId="2" applyFont="1"/>
    <xf numFmtId="164" fontId="0" fillId="0" borderId="0" xfId="2" applyNumberFormat="1" applyFont="1"/>
    <xf numFmtId="164" fontId="0" fillId="0" borderId="0" xfId="0" applyNumberFormat="1"/>
    <xf numFmtId="0" fontId="0" fillId="0" borderId="0" xfId="0" applyAlignment="1">
      <alignment horizontal="center"/>
    </xf>
    <xf numFmtId="44" fontId="0" fillId="0" borderId="0" xfId="2" applyNumberFormat="1" applyFont="1"/>
    <xf numFmtId="44" fontId="0" fillId="0" borderId="0" xfId="2" applyFont="1" applyAlignment="1">
      <alignment horizontal="right"/>
    </xf>
    <xf numFmtId="0" fontId="2" fillId="0" borderId="0" xfId="0" applyFont="1" applyAlignment="1">
      <alignment horizontal="center"/>
    </xf>
    <xf numFmtId="0" fontId="0" fillId="0" borderId="0" xfId="2" applyNumberFormat="1" applyFont="1" applyAlignment="1">
      <alignment horizontal="center"/>
    </xf>
    <xf numFmtId="0" fontId="2" fillId="0" borderId="0" xfId="0" applyFont="1"/>
    <xf numFmtId="44" fontId="2" fillId="0" borderId="0" xfId="2" applyNumberFormat="1" applyFont="1"/>
    <xf numFmtId="0" fontId="0" fillId="0" borderId="9" xfId="0" applyBorder="1"/>
    <xf numFmtId="44" fontId="0" fillId="0" borderId="9" xfId="0" applyNumberFormat="1" applyBorder="1"/>
    <xf numFmtId="44" fontId="0" fillId="0" borderId="9" xfId="2" applyNumberFormat="1" applyFont="1" applyBorder="1"/>
    <xf numFmtId="0" fontId="0" fillId="0" borderId="9" xfId="0" applyBorder="1" applyAlignment="1">
      <alignment horizontal="center"/>
    </xf>
    <xf numFmtId="164" fontId="0" fillId="0" borderId="9" xfId="2" applyNumberFormat="1" applyFont="1" applyBorder="1"/>
    <xf numFmtId="44" fontId="0" fillId="0" borderId="9" xfId="2" applyFont="1" applyBorder="1"/>
    <xf numFmtId="0" fontId="2" fillId="0" borderId="0" xfId="0" applyFont="1" applyAlignment="1">
      <alignment horizontal="center" vertical="center" wrapText="1"/>
    </xf>
    <xf numFmtId="0" fontId="0" fillId="4" borderId="0" xfId="0" applyFill="1"/>
    <xf numFmtId="44" fontId="0" fillId="4" borderId="0" xfId="2" applyFont="1" applyFill="1"/>
    <xf numFmtId="44" fontId="2" fillId="4" borderId="10" xfId="2" applyFont="1" applyFill="1" applyBorder="1" applyAlignment="1">
      <alignment horizontal="center"/>
    </xf>
    <xf numFmtId="44" fontId="2" fillId="4" borderId="11" xfId="2" applyFont="1" applyFill="1" applyBorder="1" applyAlignment="1">
      <alignment horizontal="center"/>
    </xf>
    <xf numFmtId="44" fontId="2" fillId="4" borderId="12" xfId="2" applyFont="1" applyFill="1" applyBorder="1" applyAlignment="1">
      <alignment horizontal="center"/>
    </xf>
    <xf numFmtId="44" fontId="2" fillId="4" borderId="6" xfId="2" applyFont="1" applyFill="1" applyBorder="1" applyAlignment="1">
      <alignment horizontal="center"/>
    </xf>
    <xf numFmtId="44" fontId="2" fillId="4" borderId="7" xfId="2" applyFont="1" applyFill="1" applyBorder="1" applyAlignment="1">
      <alignment horizontal="center"/>
    </xf>
    <xf numFmtId="44" fontId="2" fillId="4" borderId="8" xfId="2" applyFont="1" applyFill="1" applyBorder="1" applyAlignment="1">
      <alignment horizontal="center"/>
    </xf>
    <xf numFmtId="0" fontId="0" fillId="0" borderId="15" xfId="0" applyBorder="1" applyAlignment="1">
      <alignment vertical="center" wrapText="1"/>
    </xf>
    <xf numFmtId="0" fontId="0" fillId="0" borderId="0" xfId="0" applyAlignment="1">
      <alignment horizontal="center" vertical="center" wrapText="1"/>
    </xf>
    <xf numFmtId="0" fontId="0" fillId="0" borderId="0" xfId="0" applyAlignment="1">
      <alignment wrapText="1"/>
    </xf>
    <xf numFmtId="0" fontId="0" fillId="0" borderId="0" xfId="0" applyAlignment="1"/>
    <xf numFmtId="0" fontId="0" fillId="0" borderId="0" xfId="0" applyAlignment="1">
      <alignment horizontal="center" vertical="center"/>
    </xf>
    <xf numFmtId="0" fontId="0" fillId="0" borderId="15" xfId="0" applyFill="1" applyBorder="1" applyAlignment="1">
      <alignment vertical="center" wrapText="1"/>
    </xf>
    <xf numFmtId="0" fontId="0" fillId="0" borderId="0" xfId="0" applyFill="1" applyBorder="1" applyAlignment="1">
      <alignment horizontal="center" vertical="center" wrapText="1"/>
    </xf>
    <xf numFmtId="0" fontId="0" fillId="0" borderId="0" xfId="0" applyNumberFormat="1" applyAlignment="1">
      <alignment horizontal="center" vertical="center"/>
    </xf>
    <xf numFmtId="0" fontId="0" fillId="0" borderId="0" xfId="0" applyNumberFormat="1"/>
    <xf numFmtId="0" fontId="6" fillId="0" borderId="0" xfId="0" applyFont="1" applyAlignment="1">
      <alignment horizontal="left" vertical="top"/>
    </xf>
    <xf numFmtId="0" fontId="7" fillId="0" borderId="0" xfId="0" applyFont="1" applyAlignment="1">
      <alignment vertical="top" wrapText="1"/>
    </xf>
    <xf numFmtId="0" fontId="8" fillId="0" borderId="19" xfId="0" applyFont="1" applyBorder="1" applyAlignment="1">
      <alignment horizontal="left" vertical="top" wrapText="1"/>
    </xf>
    <xf numFmtId="0" fontId="8" fillId="0" borderId="19" xfId="0" applyFont="1" applyBorder="1" applyAlignment="1">
      <alignment horizontal="left" vertical="top" wrapText="1" indent="2"/>
    </xf>
    <xf numFmtId="0" fontId="8" fillId="0" borderId="20" xfId="0" applyFont="1" applyBorder="1" applyAlignment="1">
      <alignment horizontal="left" vertical="top" wrapText="1"/>
    </xf>
    <xf numFmtId="0" fontId="8" fillId="0" borderId="20" xfId="0" applyFont="1" applyBorder="1" applyAlignment="1">
      <alignment horizontal="left" vertical="top" wrapText="1" indent="2"/>
    </xf>
    <xf numFmtId="0" fontId="9" fillId="0" borderId="21" xfId="0" applyFont="1" applyBorder="1" applyAlignment="1">
      <alignment horizontal="left" vertical="top" wrapText="1"/>
    </xf>
    <xf numFmtId="165" fontId="10" fillId="0" borderId="21" xfId="0" applyNumberFormat="1" applyFont="1" applyBorder="1" applyAlignment="1">
      <alignment horizontal="right" vertical="top" shrinkToFit="1"/>
    </xf>
    <xf numFmtId="165" fontId="0" fillId="0" borderId="0" xfId="0" applyNumberFormat="1"/>
    <xf numFmtId="0" fontId="8" fillId="0" borderId="21" xfId="0" applyFont="1" applyBorder="1" applyAlignment="1">
      <alignment horizontal="left" vertical="top" wrapText="1"/>
    </xf>
    <xf numFmtId="3" fontId="11" fillId="0" borderId="21" xfId="0" applyNumberFormat="1" applyFont="1" applyBorder="1" applyAlignment="1">
      <alignment horizontal="right" vertical="top" shrinkToFit="1"/>
    </xf>
    <xf numFmtId="3" fontId="0" fillId="0" borderId="0" xfId="0" applyNumberFormat="1"/>
    <xf numFmtId="0" fontId="2" fillId="0" borderId="15" xfId="0" applyFont="1" applyFill="1" applyBorder="1" applyAlignment="1">
      <alignment vertical="center" wrapText="1"/>
    </xf>
    <xf numFmtId="0" fontId="6" fillId="0" borderId="0" xfId="0" applyFont="1" applyFill="1" applyBorder="1" applyAlignment="1">
      <alignment horizontal="center" vertical="center" wrapText="1"/>
    </xf>
    <xf numFmtId="49" fontId="0" fillId="0" borderId="0" xfId="2" applyNumberFormat="1" applyFont="1"/>
    <xf numFmtId="49" fontId="0" fillId="0" borderId="0" xfId="1" applyNumberFormat="1" applyFont="1" applyAlignment="1">
      <alignment horizontal="center"/>
    </xf>
    <xf numFmtId="49" fontId="0" fillId="0" borderId="0" xfId="1" applyNumberFormat="1" applyFont="1"/>
    <xf numFmtId="44" fontId="0" fillId="0" borderId="0" xfId="2" applyFont="1" applyAlignment="1">
      <alignment horizontal="center" vertical="center"/>
    </xf>
    <xf numFmtId="0" fontId="12" fillId="5" borderId="0" xfId="0" applyFont="1" applyFill="1" applyBorder="1" applyAlignment="1">
      <alignment vertical="center" wrapText="1"/>
    </xf>
    <xf numFmtId="0" fontId="12" fillId="5" borderId="0" xfId="0" applyFont="1" applyFill="1" applyAlignment="1">
      <alignment horizontal="center" vertical="center" wrapText="1"/>
    </xf>
    <xf numFmtId="0" fontId="12" fillId="5" borderId="0" xfId="0" applyFont="1" applyFill="1" applyAlignment="1">
      <alignment horizontal="center" vertical="center"/>
    </xf>
    <xf numFmtId="0" fontId="12" fillId="5" borderId="0" xfId="0" applyFont="1" applyFill="1"/>
    <xf numFmtId="0" fontId="0" fillId="0" borderId="0" xfId="0" applyAlignment="1">
      <alignment horizontal="center"/>
    </xf>
    <xf numFmtId="1" fontId="0" fillId="0" borderId="0" xfId="0" applyNumberFormat="1"/>
    <xf numFmtId="164" fontId="0" fillId="0" borderId="0" xfId="2" applyNumberFormat="1" applyFont="1" applyAlignment="1">
      <alignment horizontal="center"/>
    </xf>
    <xf numFmtId="0" fontId="0" fillId="0" borderId="0" xfId="0" applyAlignment="1">
      <alignment horizontal="center" wrapText="1"/>
    </xf>
    <xf numFmtId="0" fontId="0" fillId="0" borderId="0" xfId="0" applyBorder="1" applyAlignment="1">
      <alignment horizontal="left" vertical="center" wrapText="1"/>
    </xf>
    <xf numFmtId="0" fontId="0" fillId="0" borderId="0" xfId="0" applyAlignment="1">
      <alignment horizontal="left" vertical="center"/>
    </xf>
    <xf numFmtId="0" fontId="2" fillId="6" borderId="0" xfId="0" applyFont="1" applyFill="1"/>
    <xf numFmtId="0" fontId="3" fillId="7" borderId="17" xfId="0" applyFont="1" applyFill="1" applyBorder="1" applyAlignment="1">
      <alignment horizontal="center" vertical="center" wrapText="1"/>
    </xf>
    <xf numFmtId="0" fontId="3" fillId="7" borderId="17" xfId="0" applyFont="1" applyFill="1" applyBorder="1" applyAlignment="1">
      <alignment horizontal="center" vertical="center"/>
    </xf>
    <xf numFmtId="0" fontId="3" fillId="7" borderId="22" xfId="0" applyFont="1" applyFill="1" applyBorder="1" applyAlignment="1">
      <alignment vertical="center" wrapText="1"/>
    </xf>
    <xf numFmtId="0" fontId="3" fillId="7" borderId="17" xfId="0" applyFont="1" applyFill="1" applyBorder="1"/>
    <xf numFmtId="164" fontId="12" fillId="0" borderId="0" xfId="2" applyNumberFormat="1" applyFont="1" applyAlignment="1">
      <alignment horizontal="center"/>
    </xf>
    <xf numFmtId="164" fontId="12" fillId="0" borderId="0" xfId="2" applyNumberFormat="1" applyFont="1"/>
    <xf numFmtId="0" fontId="3" fillId="4" borderId="0" xfId="0" applyFont="1" applyFill="1" applyAlignment="1"/>
    <xf numFmtId="0" fontId="2" fillId="6" borderId="0" xfId="0" applyFont="1" applyFill="1" applyAlignment="1">
      <alignment horizontal="center"/>
    </xf>
    <xf numFmtId="44" fontId="2" fillId="3" borderId="11" xfId="2" applyFont="1" applyFill="1" applyBorder="1" applyAlignment="1">
      <alignment horizontal="center"/>
    </xf>
    <xf numFmtId="44" fontId="2" fillId="3" borderId="7" xfId="2" applyFont="1" applyFill="1" applyBorder="1" applyAlignment="1">
      <alignment horizontal="center"/>
    </xf>
    <xf numFmtId="0" fontId="0" fillId="3" borderId="0" xfId="0" applyFill="1"/>
    <xf numFmtId="44" fontId="0" fillId="3" borderId="0" xfId="2" applyFont="1" applyFill="1"/>
    <xf numFmtId="0" fontId="0" fillId="3" borderId="9" xfId="0" applyFill="1" applyBorder="1"/>
    <xf numFmtId="44" fontId="0" fillId="3" borderId="9" xfId="2" applyFont="1" applyFill="1" applyBorder="1"/>
    <xf numFmtId="0" fontId="2" fillId="2" borderId="0" xfId="0" applyFont="1" applyFill="1"/>
    <xf numFmtId="44" fontId="2" fillId="2" borderId="0" xfId="0" applyNumberFormat="1" applyFont="1" applyFill="1"/>
    <xf numFmtId="44" fontId="2" fillId="0" borderId="0" xfId="0" applyNumberFormat="1" applyFont="1"/>
    <xf numFmtId="44" fontId="2" fillId="2" borderId="0" xfId="2" applyNumberFormat="1" applyFont="1" applyFill="1"/>
    <xf numFmtId="0" fontId="2" fillId="2" borderId="0" xfId="0" applyFont="1" applyFill="1" applyAlignment="1">
      <alignment horizontal="center"/>
    </xf>
    <xf numFmtId="164" fontId="2" fillId="2" borderId="0" xfId="2" applyNumberFormat="1" applyFont="1" applyFill="1"/>
    <xf numFmtId="44" fontId="2" fillId="2" borderId="0" xfId="2" applyFont="1" applyFill="1"/>
    <xf numFmtId="164" fontId="2" fillId="2" borderId="0" xfId="0" applyNumberFormat="1" applyFont="1" applyFill="1"/>
    <xf numFmtId="44" fontId="0" fillId="4" borderId="11" xfId="2" applyFont="1" applyFill="1" applyBorder="1"/>
    <xf numFmtId="0" fontId="0" fillId="4" borderId="11" xfId="0" applyFill="1" applyBorder="1"/>
    <xf numFmtId="0" fontId="2" fillId="4" borderId="6" xfId="0" applyFont="1" applyFill="1" applyBorder="1" applyAlignment="1">
      <alignment horizontal="center" vertical="center"/>
    </xf>
    <xf numFmtId="164" fontId="2" fillId="4" borderId="7" xfId="2" applyNumberFormat="1" applyFont="1" applyFill="1" applyBorder="1" applyAlignment="1">
      <alignment horizontal="center" vertical="center" wrapText="1"/>
    </xf>
    <xf numFmtId="44" fontId="2" fillId="4" borderId="7" xfId="2" applyFont="1" applyFill="1" applyBorder="1" applyAlignment="1">
      <alignment horizontal="center" vertical="center" wrapText="1"/>
    </xf>
    <xf numFmtId="44" fontId="2" fillId="4" borderId="7" xfId="2"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1" xfId="0" applyFont="1" applyFill="1" applyBorder="1" applyAlignment="1">
      <alignment horizontal="center"/>
    </xf>
    <xf numFmtId="0" fontId="2" fillId="4" borderId="7" xfId="0" applyFont="1" applyFill="1" applyBorder="1"/>
    <xf numFmtId="0" fontId="2" fillId="4" borderId="10" xfId="0" applyFont="1" applyFill="1" applyBorder="1" applyAlignment="1">
      <alignment horizontal="center"/>
    </xf>
    <xf numFmtId="0" fontId="2" fillId="3" borderId="11" xfId="0" applyFont="1" applyFill="1" applyBorder="1" applyAlignment="1">
      <alignment horizontal="center"/>
    </xf>
    <xf numFmtId="0" fontId="2" fillId="6" borderId="0" xfId="0" applyFont="1" applyFill="1" applyBorder="1"/>
    <xf numFmtId="164" fontId="2" fillId="6" borderId="0" xfId="0" applyNumberFormat="1" applyFont="1" applyFill="1"/>
    <xf numFmtId="44" fontId="2" fillId="6" borderId="0" xfId="0" applyNumberFormat="1" applyFont="1" applyFill="1"/>
    <xf numFmtId="44" fontId="2" fillId="6" borderId="0" xfId="2" applyNumberFormat="1" applyFont="1" applyFill="1"/>
    <xf numFmtId="164" fontId="2" fillId="6" borderId="0" xfId="2" applyNumberFormat="1" applyFont="1" applyFill="1"/>
    <xf numFmtId="44" fontId="2" fillId="6" borderId="0" xfId="2" applyFont="1" applyFill="1"/>
    <xf numFmtId="0" fontId="0" fillId="0" borderId="0" xfId="0" applyAlignment="1">
      <alignment horizontal="center"/>
    </xf>
    <xf numFmtId="0" fontId="2" fillId="0" borderId="0" xfId="0" applyFont="1" applyAlignment="1">
      <alignment horizontal="center" vertical="center"/>
    </xf>
    <xf numFmtId="0" fontId="15" fillId="0" borderId="0" xfId="0" applyFont="1" applyFill="1"/>
    <xf numFmtId="164" fontId="15" fillId="0" borderId="0" xfId="2" applyNumberFormat="1" applyFont="1" applyFill="1"/>
    <xf numFmtId="0" fontId="14" fillId="0" borderId="4" xfId="0" applyFont="1" applyFill="1" applyBorder="1" applyAlignment="1">
      <alignment vertical="center"/>
    </xf>
    <xf numFmtId="0" fontId="14" fillId="0" borderId="0" xfId="0" applyFont="1" applyFill="1" applyAlignment="1">
      <alignment vertical="center"/>
    </xf>
    <xf numFmtId="6" fontId="14" fillId="0" borderId="5" xfId="0" applyNumberFormat="1" applyFont="1" applyFill="1" applyBorder="1" applyAlignment="1">
      <alignment vertical="center"/>
    </xf>
    <xf numFmtId="164" fontId="14" fillId="0" borderId="5" xfId="2" applyNumberFormat="1" applyFont="1" applyFill="1" applyBorder="1" applyAlignment="1">
      <alignment vertical="center"/>
    </xf>
    <xf numFmtId="44" fontId="15" fillId="0" borderId="0" xfId="0" applyNumberFormat="1" applyFont="1" applyFill="1"/>
    <xf numFmtId="0" fontId="14" fillId="0" borderId="6" xfId="0" applyFont="1" applyFill="1" applyBorder="1" applyAlignment="1">
      <alignment vertical="center"/>
    </xf>
    <xf numFmtId="0" fontId="14" fillId="0" borderId="7" xfId="0" applyFont="1" applyFill="1" applyBorder="1" applyAlignment="1">
      <alignment vertical="center"/>
    </xf>
    <xf numFmtId="6" fontId="14" fillId="0" borderId="8" xfId="0" applyNumberFormat="1" applyFont="1" applyFill="1" applyBorder="1" applyAlignment="1">
      <alignment vertical="center"/>
    </xf>
    <xf numFmtId="0" fontId="16" fillId="0" borderId="0" xfId="0" applyFont="1" applyFill="1" applyAlignment="1">
      <alignment vertical="center" wrapText="1"/>
    </xf>
    <xf numFmtId="0" fontId="13" fillId="0" borderId="2" xfId="0" applyFont="1" applyFill="1" applyBorder="1" applyAlignment="1">
      <alignment horizontal="center" vertical="center"/>
    </xf>
    <xf numFmtId="0" fontId="14" fillId="0" borderId="0" xfId="0" applyFont="1" applyFill="1" applyAlignment="1">
      <alignment horizontal="center" vertical="center"/>
    </xf>
    <xf numFmtId="0" fontId="14" fillId="0" borderId="7" xfId="0" applyFont="1" applyFill="1" applyBorder="1" applyAlignment="1">
      <alignment horizontal="center" vertical="center"/>
    </xf>
    <xf numFmtId="0" fontId="15" fillId="0" borderId="0" xfId="0" applyFont="1" applyFill="1" applyAlignment="1">
      <alignment horizontal="center"/>
    </xf>
    <xf numFmtId="0" fontId="17" fillId="0" borderId="0" xfId="0" applyFont="1" applyFill="1"/>
    <xf numFmtId="0" fontId="13" fillId="0" borderId="1" xfId="0" applyFont="1" applyFill="1" applyBorder="1" applyAlignment="1">
      <alignment horizontal="center" vertical="center"/>
    </xf>
    <xf numFmtId="0" fontId="13" fillId="0" borderId="3" xfId="0" applyFont="1" applyFill="1" applyBorder="1" applyAlignment="1">
      <alignment horizontal="center" vertical="center"/>
    </xf>
    <xf numFmtId="0" fontId="14" fillId="0" borderId="10" xfId="0" applyFont="1" applyFill="1" applyBorder="1" applyAlignment="1">
      <alignment vertical="center"/>
    </xf>
    <xf numFmtId="0" fontId="14" fillId="0" borderId="11" xfId="0" applyFont="1" applyFill="1" applyBorder="1" applyAlignment="1">
      <alignment vertical="center"/>
    </xf>
    <xf numFmtId="0" fontId="14" fillId="0" borderId="11" xfId="0" applyFont="1" applyFill="1" applyBorder="1" applyAlignment="1">
      <alignment horizontal="center" vertical="center"/>
    </xf>
    <xf numFmtId="164" fontId="14" fillId="0" borderId="12" xfId="2" applyNumberFormat="1" applyFont="1" applyFill="1" applyBorder="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164" fontId="14" fillId="0" borderId="8" xfId="2" applyNumberFormat="1" applyFont="1" applyFill="1" applyBorder="1" applyAlignment="1">
      <alignment vertical="center"/>
    </xf>
    <xf numFmtId="164" fontId="17" fillId="0" borderId="3" xfId="2" applyNumberFormat="1" applyFont="1" applyFill="1" applyBorder="1" applyAlignment="1">
      <alignment horizontal="center"/>
    </xf>
    <xf numFmtId="0" fontId="17" fillId="0" borderId="0" xfId="0" applyFont="1" applyFill="1" applyAlignment="1">
      <alignment horizontal="center"/>
    </xf>
    <xf numFmtId="164" fontId="17" fillId="0" borderId="0" xfId="2" applyNumberFormat="1" applyFont="1" applyFill="1"/>
    <xf numFmtId="44" fontId="15" fillId="0" borderId="0" xfId="2" applyFont="1" applyFill="1"/>
    <xf numFmtId="44" fontId="15" fillId="0" borderId="0" xfId="2" applyFont="1" applyFill="1" applyAlignment="1">
      <alignment horizontal="center"/>
    </xf>
    <xf numFmtId="0" fontId="0" fillId="0" borderId="7" xfId="0" applyBorder="1"/>
    <xf numFmtId="44" fontId="0" fillId="0" borderId="15" xfId="2" applyFont="1" applyBorder="1" applyAlignment="1">
      <alignment vertical="center" wrapText="1"/>
    </xf>
    <xf numFmtId="44" fontId="0" fillId="0" borderId="15" xfId="2" applyFont="1" applyFill="1" applyBorder="1" applyAlignment="1">
      <alignment vertical="center" wrapText="1"/>
    </xf>
    <xf numFmtId="0" fontId="0" fillId="0" borderId="0" xfId="0" applyFill="1" applyAlignment="1">
      <alignment horizontal="center" vertical="center"/>
    </xf>
    <xf numFmtId="0" fontId="0" fillId="0" borderId="0" xfId="0" applyFill="1"/>
    <xf numFmtId="0" fontId="0" fillId="0" borderId="0" xfId="0" applyFill="1" applyAlignment="1">
      <alignment horizontal="center" vertical="center" wrapText="1"/>
    </xf>
    <xf numFmtId="0" fontId="0" fillId="0" borderId="0" xfId="0" applyAlignment="1">
      <alignment horizontal="right" vertical="center" wrapText="1"/>
    </xf>
    <xf numFmtId="44" fontId="4" fillId="0" borderId="0" xfId="2" applyFont="1" applyFill="1" applyBorder="1" applyAlignment="1">
      <alignment horizontal="right" vertical="center" shrinkToFit="1"/>
    </xf>
    <xf numFmtId="44" fontId="0" fillId="0" borderId="0" xfId="2" applyFont="1" applyAlignment="1">
      <alignment horizontal="right" vertical="center" wrapText="1"/>
    </xf>
    <xf numFmtId="0" fontId="0" fillId="0" borderId="0" xfId="0" applyAlignment="1">
      <alignment horizontal="right" vertical="center"/>
    </xf>
    <xf numFmtId="0" fontId="0" fillId="0" borderId="0" xfId="0" applyFill="1" applyBorder="1" applyAlignment="1">
      <alignment horizontal="right" vertical="center" wrapText="1"/>
    </xf>
    <xf numFmtId="44" fontId="5" fillId="0" borderId="0" xfId="2" applyFont="1" applyFill="1" applyBorder="1" applyAlignment="1">
      <alignment horizontal="right" vertical="center"/>
    </xf>
    <xf numFmtId="44" fontId="0" fillId="0" borderId="0" xfId="2" applyFont="1" applyAlignment="1">
      <alignment horizontal="right" vertical="center"/>
    </xf>
    <xf numFmtId="0" fontId="0" fillId="0" borderId="0" xfId="0" applyAlignment="1">
      <alignment horizontal="right"/>
    </xf>
    <xf numFmtId="44" fontId="0" fillId="0" borderId="0" xfId="2" applyFont="1" applyFill="1" applyAlignment="1">
      <alignment horizontal="right" vertical="center"/>
    </xf>
    <xf numFmtId="44" fontId="12" fillId="5" borderId="0" xfId="2" applyFont="1" applyFill="1" applyAlignment="1">
      <alignment horizontal="right" vertical="center" wrapText="1"/>
    </xf>
    <xf numFmtId="0" fontId="2" fillId="0" borderId="0" xfId="0" applyFont="1" applyFill="1" applyBorder="1" applyAlignment="1">
      <alignment vertical="center" wrapText="1"/>
    </xf>
    <xf numFmtId="44" fontId="2" fillId="0" borderId="0" xfId="2" applyFont="1" applyAlignment="1">
      <alignment horizontal="right" vertical="center" wrapText="1"/>
    </xf>
    <xf numFmtId="44" fontId="0" fillId="0" borderId="0" xfId="2" applyNumberFormat="1" applyFont="1" applyAlignment="1">
      <alignment horizontal="left"/>
    </xf>
    <xf numFmtId="0" fontId="0" fillId="0" borderId="0" xfId="0" applyAlignment="1">
      <alignment horizontal="center"/>
    </xf>
    <xf numFmtId="0" fontId="19" fillId="0" borderId="0" xfId="0" applyFont="1"/>
    <xf numFmtId="0" fontId="0" fillId="0" borderId="0" xfId="0" applyAlignment="1">
      <alignment horizontal="center"/>
    </xf>
    <xf numFmtId="0" fontId="0" fillId="0" borderId="0" xfId="0" applyFill="1" applyBorder="1"/>
    <xf numFmtId="0" fontId="2" fillId="0" borderId="0" xfId="0" applyFont="1" applyAlignment="1">
      <alignment horizontal="center" wrapText="1"/>
    </xf>
    <xf numFmtId="0" fontId="0" fillId="0" borderId="0" xfId="0" applyBorder="1"/>
    <xf numFmtId="164" fontId="0" fillId="0" borderId="0" xfId="2" applyNumberFormat="1" applyFont="1" applyBorder="1"/>
    <xf numFmtId="44" fontId="0" fillId="0" borderId="0" xfId="2" applyFont="1" applyBorder="1"/>
    <xf numFmtId="44" fontId="0" fillId="0" borderId="0" xfId="2" applyNumberFormat="1" applyFont="1" applyBorder="1"/>
    <xf numFmtId="0" fontId="0" fillId="0" borderId="0" xfId="0" applyBorder="1" applyAlignment="1">
      <alignment horizontal="center"/>
    </xf>
    <xf numFmtId="0" fontId="0" fillId="0" borderId="0" xfId="2" applyNumberFormat="1" applyFont="1" applyBorder="1" applyAlignment="1">
      <alignment horizontal="center"/>
    </xf>
    <xf numFmtId="49" fontId="0" fillId="0" borderId="0" xfId="1" applyNumberFormat="1" applyFont="1" applyBorder="1" applyAlignment="1">
      <alignment horizontal="center"/>
    </xf>
    <xf numFmtId="0" fontId="0" fillId="0" borderId="0" xfId="0" applyAlignment="1">
      <alignment horizontal="center"/>
    </xf>
    <xf numFmtId="0" fontId="0" fillId="0" borderId="0" xfId="0" applyAlignment="1">
      <alignment horizontal="center"/>
    </xf>
    <xf numFmtId="0" fontId="3" fillId="0" borderId="0" xfId="0" applyFont="1" applyAlignment="1">
      <alignment horizontal="center" wrapText="1"/>
    </xf>
    <xf numFmtId="0" fontId="3" fillId="4" borderId="2" xfId="0" applyFont="1" applyFill="1" applyBorder="1" applyAlignment="1">
      <alignment vertical="center"/>
    </xf>
    <xf numFmtId="2" fontId="0" fillId="0" borderId="0" xfId="0" applyNumberFormat="1"/>
    <xf numFmtId="0" fontId="0" fillId="0" borderId="0" xfId="0" applyAlignment="1">
      <alignment horizontal="left"/>
    </xf>
    <xf numFmtId="0" fontId="0" fillId="5" borderId="0" xfId="0" applyFill="1" applyAlignment="1">
      <alignment horizontal="left"/>
    </xf>
    <xf numFmtId="0" fontId="0" fillId="5" borderId="0" xfId="0" applyFill="1"/>
    <xf numFmtId="44" fontId="0" fillId="5" borderId="0" xfId="2" applyFont="1" applyFill="1"/>
    <xf numFmtId="0" fontId="12" fillId="4" borderId="0" xfId="0" applyFont="1" applyFill="1" applyAlignment="1">
      <alignment horizontal="center" vertical="center" wrapText="1"/>
    </xf>
    <xf numFmtId="164" fontId="12" fillId="4" borderId="0" xfId="2" applyNumberFormat="1" applyFont="1" applyFill="1" applyAlignment="1">
      <alignment horizontal="center" vertical="center" wrapText="1"/>
    </xf>
    <xf numFmtId="164" fontId="17" fillId="4" borderId="4" xfId="2" applyNumberFormat="1" applyFont="1" applyFill="1" applyBorder="1" applyAlignment="1">
      <alignment horizontal="center" wrapText="1"/>
    </xf>
    <xf numFmtId="164" fontId="17" fillId="4" borderId="0" xfId="2" applyNumberFormat="1" applyFont="1" applyFill="1" applyBorder="1" applyAlignment="1">
      <alignment horizontal="center" wrapText="1"/>
    </xf>
    <xf numFmtId="0" fontId="17" fillId="4" borderId="0" xfId="0" applyFont="1" applyFill="1" applyBorder="1" applyAlignment="1">
      <alignment horizontal="center" wrapText="1"/>
    </xf>
    <xf numFmtId="0" fontId="17" fillId="4" borderId="10" xfId="0" applyFont="1" applyFill="1" applyBorder="1" applyAlignment="1">
      <alignment horizontal="center" wrapText="1"/>
    </xf>
    <xf numFmtId="0" fontId="17" fillId="4" borderId="12" xfId="0" applyFont="1" applyFill="1" applyBorder="1" applyAlignment="1">
      <alignment horizontal="center" wrapText="1"/>
    </xf>
    <xf numFmtId="0" fontId="17" fillId="4" borderId="5" xfId="0" applyFont="1" applyFill="1" applyBorder="1" applyAlignment="1">
      <alignment horizontal="center" wrapText="1"/>
    </xf>
    <xf numFmtId="164" fontId="0" fillId="4" borderId="4" xfId="2" applyNumberFormat="1" applyFont="1" applyFill="1" applyBorder="1" applyAlignment="1">
      <alignment horizontal="center"/>
    </xf>
    <xf numFmtId="164" fontId="0" fillId="4" borderId="0" xfId="2" applyNumberFormat="1" applyFont="1" applyFill="1" applyBorder="1" applyAlignment="1">
      <alignment horizontal="center"/>
    </xf>
    <xf numFmtId="164" fontId="0" fillId="4" borderId="5" xfId="2" applyNumberFormat="1" applyFont="1" applyFill="1" applyBorder="1" applyAlignment="1">
      <alignment horizontal="center"/>
    </xf>
    <xf numFmtId="164" fontId="0" fillId="4" borderId="4" xfId="2" applyNumberFormat="1" applyFont="1" applyFill="1" applyBorder="1"/>
    <xf numFmtId="164" fontId="0" fillId="4" borderId="0" xfId="2" applyNumberFormat="1" applyFont="1" applyFill="1" applyBorder="1"/>
    <xf numFmtId="164" fontId="0" fillId="4" borderId="5" xfId="2" applyNumberFormat="1" applyFont="1" applyFill="1" applyBorder="1"/>
    <xf numFmtId="164" fontId="0" fillId="4" borderId="6" xfId="2" applyNumberFormat="1" applyFont="1" applyFill="1" applyBorder="1" applyAlignment="1">
      <alignment horizontal="center"/>
    </xf>
    <xf numFmtId="164" fontId="0" fillId="4" borderId="7" xfId="2" applyNumberFormat="1" applyFont="1" applyFill="1" applyBorder="1" applyAlignment="1">
      <alignment horizontal="center"/>
    </xf>
    <xf numFmtId="164" fontId="0" fillId="4" borderId="7" xfId="0" applyNumberFormat="1" applyFill="1" applyBorder="1" applyAlignment="1">
      <alignment horizontal="center"/>
    </xf>
    <xf numFmtId="164" fontId="0" fillId="4" borderId="6" xfId="0" applyNumberFormat="1" applyFill="1" applyBorder="1" applyAlignment="1">
      <alignment horizontal="center"/>
    </xf>
    <xf numFmtId="164" fontId="0" fillId="4" borderId="8" xfId="0" applyNumberFormat="1" applyFill="1" applyBorder="1" applyAlignment="1">
      <alignment horizontal="center"/>
    </xf>
    <xf numFmtId="164" fontId="20" fillId="0" borderId="0" xfId="2" applyNumberFormat="1" applyFont="1"/>
    <xf numFmtId="0" fontId="20" fillId="0" borderId="0" xfId="0" applyFont="1"/>
    <xf numFmtId="0" fontId="3" fillId="4" borderId="1" xfId="0" applyFont="1" applyFill="1" applyBorder="1" applyAlignment="1">
      <alignment vertical="center"/>
    </xf>
    <xf numFmtId="0" fontId="0" fillId="0" borderId="0" xfId="0" applyAlignment="1">
      <alignment horizontal="center"/>
    </xf>
    <xf numFmtId="0" fontId="17" fillId="4" borderId="23" xfId="0" applyFont="1" applyFill="1" applyBorder="1" applyAlignment="1">
      <alignment horizontal="center" wrapText="1"/>
    </xf>
    <xf numFmtId="164" fontId="0" fillId="4" borderId="24" xfId="0" applyNumberFormat="1" applyFill="1" applyBorder="1" applyAlignment="1">
      <alignment horizontal="center"/>
    </xf>
    <xf numFmtId="0" fontId="0" fillId="4" borderId="24" xfId="0" applyFill="1" applyBorder="1"/>
    <xf numFmtId="0" fontId="0" fillId="4" borderId="25" xfId="0" applyFill="1" applyBorder="1" applyAlignment="1">
      <alignment horizontal="center"/>
    </xf>
    <xf numFmtId="164" fontId="2" fillId="4" borderId="11" xfId="2" applyNumberFormat="1" applyFont="1" applyFill="1" applyBorder="1" applyAlignment="1">
      <alignment horizontal="center" vertical="center"/>
    </xf>
    <xf numFmtId="164" fontId="2" fillId="4" borderId="11" xfId="2" applyNumberFormat="1" applyFont="1" applyFill="1" applyBorder="1" applyAlignment="1">
      <alignment horizontal="center" vertical="center" wrapText="1"/>
    </xf>
    <xf numFmtId="164" fontId="2" fillId="4" borderId="12" xfId="2" applyNumberFormat="1" applyFont="1" applyFill="1" applyBorder="1" applyAlignment="1">
      <alignment horizontal="center" vertical="center"/>
    </xf>
    <xf numFmtId="0" fontId="0" fillId="0" borderId="4" xfId="0" applyBorder="1"/>
    <xf numFmtId="0" fontId="0" fillId="0" borderId="13" xfId="0" applyBorder="1"/>
    <xf numFmtId="0" fontId="3" fillId="0" borderId="0" xfId="0" applyFont="1" applyFill="1" applyBorder="1" applyAlignment="1">
      <alignment horizontal="center"/>
    </xf>
    <xf numFmtId="0" fontId="17" fillId="0" borderId="0" xfId="0" applyFont="1" applyFill="1" applyBorder="1" applyAlignment="1">
      <alignment horizontal="center" wrapText="1"/>
    </xf>
    <xf numFmtId="0" fontId="0" fillId="0" borderId="0" xfId="0" applyFill="1" applyBorder="1" applyAlignment="1">
      <alignment horizontal="center"/>
    </xf>
    <xf numFmtId="167" fontId="0" fillId="0" borderId="0" xfId="1" applyNumberFormat="1" applyFont="1"/>
    <xf numFmtId="167" fontId="3" fillId="0" borderId="0" xfId="1" applyNumberFormat="1" applyFont="1" applyFill="1" applyBorder="1" applyAlignment="1">
      <alignment horizontal="center"/>
    </xf>
    <xf numFmtId="167" fontId="0" fillId="0" borderId="0" xfId="1" applyNumberFormat="1" applyFont="1" applyFill="1" applyBorder="1" applyAlignment="1">
      <alignment horizontal="center"/>
    </xf>
    <xf numFmtId="167" fontId="0" fillId="0" borderId="0" xfId="1" applyNumberFormat="1" applyFont="1" applyFill="1" applyBorder="1"/>
    <xf numFmtId="167" fontId="0" fillId="0" borderId="0" xfId="1" applyNumberFormat="1" applyFont="1" applyAlignment="1">
      <alignment horizontal="center"/>
    </xf>
    <xf numFmtId="167" fontId="0" fillId="0" borderId="0" xfId="0" applyNumberFormat="1" applyAlignment="1">
      <alignment horizontal="center"/>
    </xf>
    <xf numFmtId="0" fontId="0" fillId="0" borderId="0" xfId="0" applyAlignment="1">
      <alignment horizontal="center"/>
    </xf>
    <xf numFmtId="167" fontId="17" fillId="5" borderId="0" xfId="1" applyNumberFormat="1" applyFont="1" applyFill="1" applyBorder="1" applyAlignment="1">
      <alignment horizontal="center" wrapText="1"/>
    </xf>
    <xf numFmtId="167" fontId="0" fillId="5" borderId="0" xfId="1" applyNumberFormat="1" applyFont="1" applyFill="1" applyBorder="1" applyAlignment="1">
      <alignment horizontal="center"/>
    </xf>
    <xf numFmtId="0" fontId="2" fillId="4" borderId="10" xfId="0" applyFont="1" applyFill="1" applyBorder="1" applyAlignment="1">
      <alignment horizontal="center" vertical="center"/>
    </xf>
    <xf numFmtId="0" fontId="2" fillId="4" borderId="6" xfId="0" applyFont="1" applyFill="1" applyBorder="1" applyAlignment="1">
      <alignment horizontal="center" vertical="center"/>
    </xf>
    <xf numFmtId="0" fontId="0" fillId="0" borderId="0" xfId="0" applyAlignment="1">
      <alignment horizontal="center"/>
    </xf>
    <xf numFmtId="8" fontId="0" fillId="0" borderId="0" xfId="0" applyNumberFormat="1"/>
    <xf numFmtId="0" fontId="2" fillId="8" borderId="0" xfId="0" applyFont="1" applyFill="1"/>
    <xf numFmtId="0" fontId="2" fillId="0" borderId="0" xfId="0" applyFont="1" applyAlignment="1">
      <alignment horizontal="right"/>
    </xf>
    <xf numFmtId="0" fontId="0" fillId="0" borderId="0" xfId="0" applyAlignment="1">
      <alignment horizontal="left" vertical="center" wrapText="1"/>
    </xf>
    <xf numFmtId="0" fontId="0" fillId="8" borderId="0" xfId="0" applyFill="1" applyAlignment="1">
      <alignment horizontal="center" vertical="center"/>
    </xf>
    <xf numFmtId="0" fontId="12" fillId="2" borderId="0" xfId="0" applyFont="1" applyFill="1" applyBorder="1"/>
    <xf numFmtId="164" fontId="12" fillId="2" borderId="0" xfId="0" applyNumberFormat="1" applyFont="1" applyFill="1"/>
    <xf numFmtId="44" fontId="12" fillId="2" borderId="0" xfId="0" applyNumberFormat="1" applyFont="1" applyFill="1"/>
    <xf numFmtId="44" fontId="12" fillId="2" borderId="0" xfId="2" applyNumberFormat="1" applyFont="1" applyFill="1"/>
    <xf numFmtId="0" fontId="12" fillId="2" borderId="0" xfId="0" applyFont="1" applyFill="1" applyAlignment="1">
      <alignment horizontal="center"/>
    </xf>
    <xf numFmtId="164" fontId="12" fillId="2" borderId="0" xfId="2" applyNumberFormat="1" applyFont="1" applyFill="1"/>
    <xf numFmtId="44" fontId="12" fillId="2" borderId="0" xfId="2" applyFont="1" applyFill="1"/>
    <xf numFmtId="0" fontId="12" fillId="0" borderId="0" xfId="0" applyFont="1"/>
    <xf numFmtId="164" fontId="0" fillId="9" borderId="0" xfId="2" applyNumberFormat="1" applyFont="1" applyFill="1"/>
    <xf numFmtId="0" fontId="0" fillId="9" borderId="0" xfId="0" applyFill="1"/>
    <xf numFmtId="44" fontId="19" fillId="9" borderId="0" xfId="0" applyNumberFormat="1" applyFont="1" applyFill="1"/>
    <xf numFmtId="44" fontId="0" fillId="9" borderId="0" xfId="0" applyNumberFormat="1" applyFill="1"/>
    <xf numFmtId="44" fontId="0" fillId="9" borderId="4" xfId="2" applyFont="1" applyFill="1" applyBorder="1" applyAlignment="1">
      <alignment horizontal="right"/>
    </xf>
    <xf numFmtId="44" fontId="0" fillId="9" borderId="0" xfId="2" applyFont="1" applyFill="1" applyBorder="1" applyAlignment="1">
      <alignment horizontal="right"/>
    </xf>
    <xf numFmtId="44" fontId="19" fillId="9" borderId="5" xfId="2" applyFont="1" applyFill="1" applyBorder="1" applyAlignment="1">
      <alignment horizontal="right"/>
    </xf>
    <xf numFmtId="44" fontId="0" fillId="9" borderId="5" xfId="2" applyFont="1" applyFill="1" applyBorder="1" applyAlignment="1">
      <alignment horizontal="right"/>
    </xf>
    <xf numFmtId="44" fontId="19" fillId="9" borderId="4" xfId="2" applyFont="1" applyFill="1" applyBorder="1" applyAlignment="1">
      <alignment horizontal="right"/>
    </xf>
    <xf numFmtId="44" fontId="18" fillId="9" borderId="5" xfId="2" applyFont="1" applyFill="1" applyBorder="1" applyAlignment="1">
      <alignment horizontal="right"/>
    </xf>
    <xf numFmtId="0" fontId="0" fillId="9" borderId="9" xfId="0" applyFill="1" applyBorder="1"/>
    <xf numFmtId="44" fontId="0" fillId="9" borderId="9" xfId="0" applyNumberFormat="1" applyFill="1" applyBorder="1"/>
    <xf numFmtId="44" fontId="0" fillId="9" borderId="13" xfId="2" applyFont="1" applyFill="1" applyBorder="1" applyAlignment="1">
      <alignment horizontal="right"/>
    </xf>
    <xf numFmtId="44" fontId="0" fillId="9" borderId="9" xfId="2" applyFont="1" applyFill="1" applyBorder="1" applyAlignment="1">
      <alignment horizontal="right"/>
    </xf>
    <xf numFmtId="44" fontId="0" fillId="9" borderId="14" xfId="2" applyFont="1" applyFill="1" applyBorder="1" applyAlignment="1">
      <alignment horizontal="right"/>
    </xf>
    <xf numFmtId="0" fontId="2" fillId="9" borderId="0" xfId="0" applyFont="1" applyFill="1"/>
    <xf numFmtId="44" fontId="2" fillId="9" borderId="0" xfId="0" applyNumberFormat="1" applyFont="1" applyFill="1"/>
    <xf numFmtId="44" fontId="2" fillId="9" borderId="6" xfId="2" applyFont="1" applyFill="1" applyBorder="1"/>
    <xf numFmtId="44" fontId="2" fillId="9" borderId="7" xfId="2" applyFont="1" applyFill="1" applyBorder="1"/>
    <xf numFmtId="44" fontId="2" fillId="9" borderId="8" xfId="2" applyFont="1" applyFill="1" applyBorder="1"/>
    <xf numFmtId="164" fontId="0" fillId="9" borderId="0" xfId="2" applyNumberFormat="1" applyFont="1" applyFill="1" applyBorder="1"/>
    <xf numFmtId="0" fontId="0" fillId="10" borderId="0" xfId="0" applyFill="1"/>
    <xf numFmtId="0" fontId="3" fillId="4" borderId="16" xfId="0" applyFont="1" applyFill="1" applyBorder="1" applyAlignment="1">
      <alignment horizontal="center" vertical="center" wrapText="1"/>
    </xf>
    <xf numFmtId="0" fontId="0" fillId="4" borderId="0" xfId="0" applyFill="1" applyAlignment="1">
      <alignment horizontal="center" vertical="center" wrapText="1"/>
    </xf>
    <xf numFmtId="0" fontId="0" fillId="4" borderId="0" xfId="0" applyFill="1" applyAlignment="1">
      <alignment horizontal="right" vertical="center" wrapText="1"/>
    </xf>
    <xf numFmtId="44" fontId="4" fillId="4" borderId="18" xfId="2" applyFont="1" applyFill="1" applyBorder="1" applyAlignment="1">
      <alignment horizontal="right" vertical="center" shrinkToFit="1"/>
    </xf>
    <xf numFmtId="44" fontId="0" fillId="4" borderId="0" xfId="2" applyFont="1" applyFill="1" applyAlignment="1">
      <alignment horizontal="right" vertical="center" wrapText="1"/>
    </xf>
    <xf numFmtId="44" fontId="0" fillId="4" borderId="0" xfId="2" applyFont="1" applyFill="1" applyAlignment="1">
      <alignment horizontal="right"/>
    </xf>
    <xf numFmtId="44" fontId="12" fillId="4" borderId="0" xfId="2" applyFont="1" applyFill="1" applyAlignment="1">
      <alignment horizontal="right" vertical="center" wrapText="1"/>
    </xf>
    <xf numFmtId="44" fontId="2" fillId="4" borderId="0" xfId="2" applyFont="1" applyFill="1" applyAlignment="1">
      <alignment horizontal="right" vertical="center" wrapText="1"/>
    </xf>
    <xf numFmtId="0" fontId="0" fillId="4" borderId="0" xfId="0" applyFill="1" applyAlignment="1">
      <alignment horizontal="center" vertical="center"/>
    </xf>
    <xf numFmtId="0" fontId="0" fillId="4" borderId="0" xfId="0" applyFill="1" applyAlignment="1">
      <alignment wrapText="1"/>
    </xf>
    <xf numFmtId="44" fontId="2" fillId="4" borderId="0" xfId="2" applyFont="1" applyFill="1" applyBorder="1" applyAlignment="1">
      <alignment horizontal="center"/>
    </xf>
    <xf numFmtId="44" fontId="2" fillId="4" borderId="5" xfId="2" applyFont="1" applyFill="1" applyBorder="1" applyAlignment="1">
      <alignment horizontal="center"/>
    </xf>
    <xf numFmtId="44" fontId="1" fillId="9" borderId="0" xfId="2" applyFont="1" applyFill="1" applyBorder="1" applyAlignment="1">
      <alignment horizontal="right"/>
    </xf>
    <xf numFmtId="164" fontId="0" fillId="4" borderId="10" xfId="2" applyNumberFormat="1" applyFont="1" applyFill="1" applyBorder="1" applyAlignment="1">
      <alignment horizontal="center"/>
    </xf>
    <xf numFmtId="44" fontId="0" fillId="4" borderId="11" xfId="2" applyFont="1" applyFill="1" applyBorder="1" applyAlignment="1">
      <alignment horizontal="center"/>
    </xf>
    <xf numFmtId="44" fontId="0" fillId="4" borderId="12" xfId="2" applyFont="1" applyFill="1" applyBorder="1" applyAlignment="1">
      <alignment horizontal="center"/>
    </xf>
    <xf numFmtId="44" fontId="1" fillId="4" borderId="4" xfId="2" applyFont="1" applyFill="1" applyBorder="1" applyAlignment="1">
      <alignment horizontal="center"/>
    </xf>
    <xf numFmtId="44" fontId="1" fillId="4" borderId="0" xfId="2" applyFont="1" applyFill="1" applyBorder="1" applyAlignment="1">
      <alignment horizontal="center"/>
    </xf>
    <xf numFmtId="44" fontId="1" fillId="4" borderId="5" xfId="2" applyFont="1" applyFill="1" applyBorder="1" applyAlignment="1">
      <alignment horizontal="center"/>
    </xf>
    <xf numFmtId="44" fontId="1" fillId="9" borderId="4" xfId="2" applyFont="1" applyFill="1" applyBorder="1" applyAlignment="1">
      <alignment horizontal="right"/>
    </xf>
    <xf numFmtId="44" fontId="1" fillId="9" borderId="5" xfId="2" applyFont="1" applyFill="1" applyBorder="1" applyAlignment="1">
      <alignment horizontal="right"/>
    </xf>
    <xf numFmtId="164" fontId="0" fillId="10" borderId="0" xfId="2" applyNumberFormat="1" applyFont="1" applyFill="1"/>
    <xf numFmtId="164" fontId="0" fillId="5" borderId="0" xfId="2" applyNumberFormat="1" applyFont="1" applyFill="1"/>
    <xf numFmtId="164" fontId="0" fillId="5" borderId="9" xfId="2" applyNumberFormat="1" applyFont="1" applyFill="1" applyBorder="1"/>
    <xf numFmtId="164" fontId="0" fillId="0" borderId="0" xfId="2" applyNumberFormat="1" applyFont="1" applyFill="1" applyBorder="1"/>
    <xf numFmtId="164" fontId="2" fillId="4" borderId="5" xfId="2" applyNumberFormat="1" applyFont="1" applyFill="1" applyBorder="1"/>
    <xf numFmtId="164" fontId="0" fillId="0" borderId="0" xfId="2" applyNumberFormat="1" applyFont="1" applyAlignment="1">
      <alignment horizontal="center" vertical="center"/>
    </xf>
    <xf numFmtId="164" fontId="2" fillId="4" borderId="11" xfId="0" applyNumberFormat="1" applyFont="1" applyFill="1" applyBorder="1" applyAlignment="1">
      <alignment horizontal="center"/>
    </xf>
    <xf numFmtId="164" fontId="2" fillId="4" borderId="7" xfId="0" applyNumberFormat="1" applyFont="1" applyFill="1" applyBorder="1"/>
    <xf numFmtId="164" fontId="0" fillId="9" borderId="0" xfId="0" applyNumberFormat="1" applyFill="1"/>
    <xf numFmtId="164" fontId="0" fillId="9" borderId="9" xfId="0" applyNumberFormat="1" applyFill="1" applyBorder="1"/>
    <xf numFmtId="164" fontId="2" fillId="9" borderId="0" xfId="0" applyNumberFormat="1" applyFont="1" applyFill="1"/>
    <xf numFmtId="164" fontId="0" fillId="0" borderId="9" xfId="0" applyNumberFormat="1" applyBorder="1"/>
    <xf numFmtId="164" fontId="2" fillId="0" borderId="0" xfId="0" applyNumberFormat="1" applyFont="1"/>
    <xf numFmtId="0" fontId="0" fillId="0" borderId="9" xfId="0" applyFill="1" applyBorder="1"/>
    <xf numFmtId="49" fontId="0" fillId="0" borderId="9" xfId="1" applyNumberFormat="1" applyFont="1" applyBorder="1"/>
    <xf numFmtId="164" fontId="0" fillId="0" borderId="9" xfId="2" applyNumberFormat="1" applyFont="1" applyBorder="1" applyAlignment="1">
      <alignment horizontal="center" vertical="center"/>
    </xf>
    <xf numFmtId="164" fontId="0" fillId="5" borderId="0" xfId="2" applyNumberFormat="1" applyFont="1" applyFill="1" applyBorder="1"/>
    <xf numFmtId="164" fontId="3" fillId="4" borderId="2" xfId="0" applyNumberFormat="1" applyFont="1" applyFill="1" applyBorder="1" applyAlignment="1">
      <alignment vertical="center"/>
    </xf>
    <xf numFmtId="164" fontId="3" fillId="4" borderId="2" xfId="2" applyNumberFormat="1" applyFont="1" applyFill="1" applyBorder="1" applyAlignment="1">
      <alignment vertical="center"/>
    </xf>
    <xf numFmtId="164" fontId="2" fillId="4" borderId="14" xfId="2" applyNumberFormat="1" applyFont="1" applyFill="1" applyBorder="1"/>
    <xf numFmtId="164" fontId="2" fillId="0" borderId="0" xfId="2" applyNumberFormat="1" applyFont="1" applyAlignment="1">
      <alignment horizontal="center" wrapText="1"/>
    </xf>
    <xf numFmtId="166" fontId="0" fillId="0" borderId="0" xfId="0" applyNumberFormat="1" applyBorder="1"/>
    <xf numFmtId="2" fontId="0" fillId="0" borderId="0" xfId="0" applyNumberFormat="1" applyBorder="1"/>
    <xf numFmtId="0" fontId="0" fillId="0" borderId="10" xfId="0" applyBorder="1" applyAlignment="1">
      <alignment horizontal="left"/>
    </xf>
    <xf numFmtId="166" fontId="0" fillId="0" borderId="11" xfId="0" applyNumberFormat="1" applyBorder="1"/>
    <xf numFmtId="0" fontId="0" fillId="0" borderId="11" xfId="0" applyBorder="1"/>
    <xf numFmtId="2" fontId="0" fillId="0" borderId="11" xfId="0" applyNumberFormat="1" applyBorder="1"/>
    <xf numFmtId="164" fontId="0" fillId="0" borderId="12" xfId="2" applyNumberFormat="1" applyFont="1" applyBorder="1"/>
    <xf numFmtId="0" fontId="0" fillId="0" borderId="4" xfId="0" applyBorder="1" applyAlignment="1">
      <alignment horizontal="left"/>
    </xf>
    <xf numFmtId="164" fontId="0" fillId="0" borderId="5" xfId="2" applyNumberFormat="1" applyFont="1" applyBorder="1"/>
    <xf numFmtId="0" fontId="0" fillId="0" borderId="6" xfId="0" applyBorder="1" applyAlignment="1">
      <alignment horizontal="left"/>
    </xf>
    <xf numFmtId="166" fontId="0" fillId="0" borderId="7" xfId="0" applyNumberFormat="1" applyBorder="1"/>
    <xf numFmtId="2" fontId="0" fillId="0" borderId="7" xfId="0" applyNumberFormat="1" applyBorder="1"/>
    <xf numFmtId="164" fontId="0" fillId="0" borderId="8" xfId="2" applyNumberFormat="1" applyFont="1" applyBorder="1"/>
    <xf numFmtId="0" fontId="0" fillId="9" borderId="0" xfId="0" applyFill="1" applyAlignment="1">
      <alignment wrapText="1"/>
    </xf>
    <xf numFmtId="0" fontId="0" fillId="9" borderId="0" xfId="0" applyFill="1" applyAlignment="1">
      <alignment horizontal="center" wrapText="1"/>
    </xf>
    <xf numFmtId="0" fontId="2" fillId="9" borderId="0" xfId="0" applyFont="1" applyFill="1" applyAlignment="1">
      <alignment horizontal="center"/>
    </xf>
    <xf numFmtId="0" fontId="0" fillId="9" borderId="0" xfId="0" applyFill="1" applyAlignment="1">
      <alignment horizontal="center"/>
    </xf>
    <xf numFmtId="1" fontId="0" fillId="9" borderId="0" xfId="0" applyNumberFormat="1" applyFill="1"/>
    <xf numFmtId="164" fontId="12" fillId="9" borderId="0" xfId="2" applyNumberFormat="1" applyFont="1" applyFill="1" applyAlignment="1">
      <alignment horizontal="center"/>
    </xf>
    <xf numFmtId="164" fontId="12" fillId="9" borderId="0" xfId="2" applyNumberFormat="1" applyFont="1" applyFill="1"/>
    <xf numFmtId="164" fontId="0" fillId="9" borderId="0" xfId="2" applyNumberFormat="1" applyFont="1" applyFill="1" applyAlignment="1">
      <alignment horizontal="center"/>
    </xf>
    <xf numFmtId="3" fontId="0" fillId="0" borderId="0" xfId="0" applyNumberFormat="1" applyAlignment="1">
      <alignment horizontal="center"/>
    </xf>
    <xf numFmtId="0" fontId="0" fillId="5" borderId="9" xfId="0" applyFill="1" applyBorder="1"/>
    <xf numFmtId="0" fontId="0" fillId="11" borderId="0" xfId="0" applyFill="1" applyAlignment="1">
      <alignment wrapText="1"/>
    </xf>
    <xf numFmtId="9" fontId="0" fillId="0" borderId="0" xfId="3" applyFont="1"/>
    <xf numFmtId="9" fontId="1" fillId="0" borderId="0" xfId="3" applyFont="1"/>
    <xf numFmtId="164" fontId="0" fillId="0" borderId="0" xfId="2" applyNumberFormat="1" applyFont="1" applyAlignment="1">
      <alignment wrapText="1"/>
    </xf>
    <xf numFmtId="0" fontId="24" fillId="0" borderId="0" xfId="4" applyAlignment="1">
      <alignment horizontal="left"/>
    </xf>
    <xf numFmtId="0" fontId="19" fillId="5" borderId="6" xfId="0" applyFont="1" applyFill="1" applyBorder="1"/>
    <xf numFmtId="164" fontId="0" fillId="5" borderId="7" xfId="2" applyNumberFormat="1" applyFont="1" applyFill="1" applyBorder="1"/>
    <xf numFmtId="0" fontId="0" fillId="5" borderId="7" xfId="0" applyFill="1" applyBorder="1"/>
    <xf numFmtId="0" fontId="23" fillId="5" borderId="10" xfId="0" applyFont="1" applyFill="1" applyBorder="1"/>
    <xf numFmtId="164" fontId="2" fillId="5" borderId="11" xfId="2" applyNumberFormat="1" applyFont="1" applyFill="1" applyBorder="1"/>
    <xf numFmtId="0" fontId="2" fillId="5" borderId="11" xfId="0" applyFont="1" applyFill="1" applyBorder="1"/>
    <xf numFmtId="0" fontId="19" fillId="5" borderId="13" xfId="0" applyFont="1" applyFill="1" applyBorder="1"/>
    <xf numFmtId="0" fontId="23" fillId="0" borderId="6" xfId="0" applyFont="1" applyFill="1" applyBorder="1"/>
    <xf numFmtId="164" fontId="2" fillId="0" borderId="7" xfId="2" applyNumberFormat="1" applyFont="1" applyFill="1" applyBorder="1"/>
    <xf numFmtId="44" fontId="2" fillId="0" borderId="7" xfId="2" applyFont="1" applyFill="1" applyBorder="1"/>
    <xf numFmtId="0" fontId="2" fillId="0" borderId="7" xfId="0" applyFont="1" applyFill="1" applyBorder="1"/>
    <xf numFmtId="164" fontId="0" fillId="0" borderId="0" xfId="2" applyNumberFormat="1" applyFont="1" applyFill="1"/>
    <xf numFmtId="44" fontId="0" fillId="0" borderId="0" xfId="2" applyFont="1" applyFill="1"/>
    <xf numFmtId="164" fontId="0" fillId="0" borderId="9" xfId="2" applyNumberFormat="1" applyFont="1" applyFill="1" applyBorder="1"/>
    <xf numFmtId="44" fontId="0" fillId="0" borderId="9" xfId="2" applyFont="1" applyFill="1" applyBorder="1"/>
    <xf numFmtId="164" fontId="0" fillId="5" borderId="0" xfId="2" applyNumberFormat="1" applyFont="1" applyFill="1" applyAlignment="1">
      <alignment horizontal="center"/>
    </xf>
    <xf numFmtId="0" fontId="0" fillId="0" borderId="0" xfId="0" applyBorder="1" applyAlignment="1">
      <alignment vertical="center" wrapText="1"/>
    </xf>
    <xf numFmtId="0" fontId="2" fillId="0" borderId="17" xfId="0" applyFont="1" applyBorder="1" applyAlignment="1">
      <alignment horizontal="center"/>
    </xf>
    <xf numFmtId="39" fontId="0" fillId="0" borderId="0" xfId="0" applyNumberFormat="1"/>
    <xf numFmtId="37" fontId="0" fillId="0" borderId="17" xfId="0" applyNumberFormat="1" applyBorder="1"/>
    <xf numFmtId="39" fontId="2" fillId="0" borderId="9" xfId="0" applyNumberFormat="1" applyFont="1" applyBorder="1"/>
    <xf numFmtId="4" fontId="0" fillId="0" borderId="0" xfId="0" applyNumberFormat="1"/>
    <xf numFmtId="39" fontId="0" fillId="0" borderId="17" xfId="0" applyNumberFormat="1" applyBorder="1"/>
    <xf numFmtId="39" fontId="2" fillId="0" borderId="17" xfId="0" applyNumberFormat="1" applyFont="1" applyBorder="1"/>
    <xf numFmtId="39" fontId="2" fillId="0" borderId="0" xfId="0" applyNumberFormat="1" applyFont="1" applyBorder="1"/>
    <xf numFmtId="39" fontId="2" fillId="0" borderId="0" xfId="0" applyNumberFormat="1" applyFont="1"/>
    <xf numFmtId="39" fontId="0" fillId="0" borderId="0" xfId="0" applyNumberFormat="1" applyFill="1" applyBorder="1" applyAlignment="1">
      <alignment horizontal="right" vertical="center" wrapText="1"/>
    </xf>
    <xf numFmtId="49" fontId="0" fillId="0" borderId="0" xfId="0" applyNumberFormat="1" applyFill="1" applyBorder="1" applyAlignment="1">
      <alignment horizontal="right" vertical="center" wrapText="1"/>
    </xf>
    <xf numFmtId="49" fontId="0" fillId="0" borderId="0" xfId="0" applyNumberFormat="1" applyAlignment="1">
      <alignment horizontal="right" vertical="center"/>
    </xf>
    <xf numFmtId="0" fontId="0" fillId="0" borderId="0" xfId="0" applyNumberFormat="1" applyAlignment="1">
      <alignment horizontal="right" vertical="center"/>
    </xf>
    <xf numFmtId="3" fontId="0" fillId="0" borderId="0" xfId="0" applyNumberFormat="1" applyFill="1" applyAlignment="1">
      <alignment horizontal="center"/>
    </xf>
    <xf numFmtId="1" fontId="0" fillId="0" borderId="0" xfId="0" applyNumberFormat="1" applyFill="1"/>
    <xf numFmtId="0" fontId="0" fillId="0" borderId="0" xfId="0" applyFill="1" applyAlignment="1">
      <alignment horizontal="center"/>
    </xf>
    <xf numFmtId="164" fontId="12" fillId="0" borderId="0" xfId="2" applyNumberFormat="1" applyFont="1" applyFill="1" applyAlignment="1">
      <alignment horizontal="center"/>
    </xf>
    <xf numFmtId="164" fontId="12" fillId="0" borderId="0" xfId="2" applyNumberFormat="1" applyFont="1" applyFill="1"/>
    <xf numFmtId="164" fontId="0" fillId="0" borderId="0" xfId="2" applyNumberFormat="1" applyFont="1" applyFill="1" applyAlignment="1">
      <alignment horizontal="center"/>
    </xf>
    <xf numFmtId="0" fontId="3" fillId="12" borderId="0" xfId="0" applyFont="1" applyFill="1" applyBorder="1" applyAlignment="1">
      <alignment vertical="center"/>
    </xf>
    <xf numFmtId="164" fontId="3" fillId="12" borderId="0" xfId="0" applyNumberFormat="1" applyFont="1" applyFill="1" applyBorder="1" applyAlignment="1">
      <alignment vertical="center"/>
    </xf>
    <xf numFmtId="164" fontId="3" fillId="12" borderId="0" xfId="2" applyNumberFormat="1" applyFont="1" applyFill="1" applyBorder="1" applyAlignment="1">
      <alignment vertical="center"/>
    </xf>
    <xf numFmtId="164" fontId="0" fillId="0" borderId="0" xfId="0" applyNumberFormat="1" applyFill="1"/>
    <xf numFmtId="164" fontId="19" fillId="0" borderId="0" xfId="2" applyNumberFormat="1" applyFont="1" applyFill="1"/>
    <xf numFmtId="164" fontId="19" fillId="0" borderId="0" xfId="0" applyNumberFormat="1" applyFont="1" applyFill="1"/>
    <xf numFmtId="6" fontId="0" fillId="0" borderId="0" xfId="0" applyNumberFormat="1" applyFill="1"/>
    <xf numFmtId="0" fontId="2" fillId="4" borderId="10" xfId="0" applyFont="1" applyFill="1" applyBorder="1" applyAlignment="1">
      <alignment horizontal="center" vertical="center"/>
    </xf>
    <xf numFmtId="0" fontId="0" fillId="11" borderId="0" xfId="0" applyFill="1" applyBorder="1"/>
    <xf numFmtId="0" fontId="0" fillId="0" borderId="10" xfId="0" applyBorder="1"/>
    <xf numFmtId="164" fontId="0" fillId="0" borderId="11" xfId="2" applyNumberFormat="1" applyFont="1" applyBorder="1"/>
    <xf numFmtId="164" fontId="0" fillId="0" borderId="11" xfId="2" applyNumberFormat="1" applyFont="1" applyFill="1" applyBorder="1"/>
    <xf numFmtId="164" fontId="2" fillId="4" borderId="12" xfId="2" applyNumberFormat="1" applyFont="1" applyFill="1" applyBorder="1"/>
    <xf numFmtId="0" fontId="3" fillId="5" borderId="1" xfId="0" applyFont="1" applyFill="1" applyBorder="1" applyAlignment="1">
      <alignment horizontal="center" vertical="center" wrapText="1"/>
    </xf>
    <xf numFmtId="164" fontId="3" fillId="5" borderId="2" xfId="2" applyNumberFormat="1" applyFont="1" applyFill="1" applyBorder="1" applyAlignment="1">
      <alignment horizontal="center" vertical="center" wrapText="1"/>
    </xf>
    <xf numFmtId="164" fontId="17" fillId="5" borderId="2" xfId="2" applyNumberFormat="1" applyFont="1" applyFill="1" applyBorder="1" applyAlignment="1">
      <alignment horizontal="center" vertical="center" wrapText="1"/>
    </xf>
    <xf numFmtId="0" fontId="3" fillId="5" borderId="2" xfId="0" applyFont="1" applyFill="1" applyBorder="1" applyAlignment="1">
      <alignment horizontal="center" vertical="center" wrapText="1"/>
    </xf>
    <xf numFmtId="0" fontId="0" fillId="6" borderId="0" xfId="0" applyFill="1"/>
    <xf numFmtId="164" fontId="0" fillId="6" borderId="0" xfId="2" applyNumberFormat="1" applyFont="1" applyFill="1"/>
    <xf numFmtId="164" fontId="12" fillId="5" borderId="0" xfId="2" applyNumberFormat="1" applyFont="1" applyFill="1"/>
    <xf numFmtId="0" fontId="12" fillId="0" borderId="6" xfId="0" applyFont="1" applyBorder="1"/>
    <xf numFmtId="164" fontId="12" fillId="0" borderId="7" xfId="2" applyNumberFormat="1" applyFont="1" applyBorder="1"/>
    <xf numFmtId="164" fontId="12" fillId="0" borderId="7" xfId="2" applyNumberFormat="1" applyFont="1" applyFill="1" applyBorder="1"/>
    <xf numFmtId="164" fontId="12" fillId="4" borderId="8" xfId="2" applyNumberFormat="1" applyFont="1" applyFill="1" applyBorder="1"/>
    <xf numFmtId="164" fontId="19" fillId="0" borderId="0" xfId="2" applyNumberFormat="1" applyFont="1" applyFill="1" applyBorder="1"/>
    <xf numFmtId="164" fontId="19" fillId="0" borderId="0" xfId="0" applyNumberFormat="1" applyFont="1" applyFill="1" applyBorder="1"/>
    <xf numFmtId="0" fontId="19" fillId="0" borderId="0" xfId="0" applyFont="1" applyFill="1" applyBorder="1"/>
    <xf numFmtId="0" fontId="19" fillId="0" borderId="0" xfId="0" applyFont="1" applyFill="1"/>
    <xf numFmtId="0" fontId="19" fillId="0" borderId="9" xfId="0" applyFont="1" applyFill="1" applyBorder="1"/>
    <xf numFmtId="164" fontId="17" fillId="5" borderId="26" xfId="2" applyNumberFormat="1" applyFont="1" applyFill="1" applyBorder="1" applyAlignment="1">
      <alignment horizontal="center" vertical="center" wrapText="1"/>
    </xf>
    <xf numFmtId="164" fontId="0" fillId="0" borderId="24" xfId="2" applyNumberFormat="1" applyFont="1" applyBorder="1"/>
    <xf numFmtId="164" fontId="0" fillId="0" borderId="27" xfId="2" applyNumberFormat="1" applyFont="1" applyBorder="1"/>
    <xf numFmtId="164" fontId="12" fillId="5" borderId="25" xfId="2" applyNumberFormat="1" applyFont="1" applyFill="1" applyBorder="1"/>
    <xf numFmtId="164" fontId="0" fillId="0" borderId="23" xfId="2" applyNumberFormat="1" applyFont="1" applyFill="1" applyBorder="1"/>
    <xf numFmtId="164" fontId="0" fillId="0" borderId="24" xfId="2" applyNumberFormat="1" applyFont="1" applyFill="1" applyBorder="1"/>
    <xf numFmtId="164" fontId="0" fillId="0" borderId="27" xfId="2" applyNumberFormat="1" applyFont="1" applyFill="1" applyBorder="1"/>
    <xf numFmtId="164" fontId="0" fillId="0" borderId="25" xfId="2" applyNumberFormat="1" applyFont="1" applyFill="1" applyBorder="1"/>
    <xf numFmtId="0" fontId="19" fillId="9" borderId="0" xfId="0" applyFont="1" applyFill="1"/>
    <xf numFmtId="44" fontId="0" fillId="9" borderId="0" xfId="2" applyFont="1" applyFill="1"/>
    <xf numFmtId="0" fontId="19" fillId="9" borderId="9" xfId="0" applyFont="1" applyFill="1" applyBorder="1"/>
    <xf numFmtId="164" fontId="0" fillId="9" borderId="9" xfId="2" applyNumberFormat="1" applyFont="1" applyFill="1" applyBorder="1"/>
    <xf numFmtId="44" fontId="0" fillId="9" borderId="9" xfId="2" applyFont="1" applyFill="1" applyBorder="1"/>
    <xf numFmtId="0" fontId="23" fillId="9" borderId="6" xfId="0" applyFont="1" applyFill="1" applyBorder="1"/>
    <xf numFmtId="164" fontId="2" fillId="9" borderId="7" xfId="2" applyNumberFormat="1" applyFont="1" applyFill="1" applyBorder="1"/>
    <xf numFmtId="0" fontId="2" fillId="9" borderId="7" xfId="0" applyFont="1" applyFill="1" applyBorder="1"/>
    <xf numFmtId="164" fontId="3" fillId="4" borderId="7" xfId="2" applyNumberFormat="1" applyFont="1" applyFill="1" applyBorder="1" applyAlignment="1">
      <alignment vertical="center"/>
    </xf>
    <xf numFmtId="164" fontId="0" fillId="9" borderId="23" xfId="2" applyNumberFormat="1" applyFont="1" applyFill="1" applyBorder="1"/>
    <xf numFmtId="164" fontId="0" fillId="9" borderId="24" xfId="2" applyNumberFormat="1" applyFont="1" applyFill="1" applyBorder="1"/>
    <xf numFmtId="164" fontId="0" fillId="5" borderId="25" xfId="2" applyNumberFormat="1" applyFont="1" applyFill="1" applyBorder="1"/>
    <xf numFmtId="164" fontId="19" fillId="0" borderId="23" xfId="2" applyNumberFormat="1" applyFont="1" applyFill="1" applyBorder="1"/>
    <xf numFmtId="164" fontId="19" fillId="0" borderId="24" xfId="2" applyNumberFormat="1" applyFont="1" applyFill="1" applyBorder="1"/>
    <xf numFmtId="164" fontId="19" fillId="0" borderId="25" xfId="2" applyNumberFormat="1" applyFont="1" applyFill="1" applyBorder="1"/>
    <xf numFmtId="164" fontId="0" fillId="5" borderId="23" xfId="2" applyNumberFormat="1" applyFont="1" applyFill="1" applyBorder="1"/>
    <xf numFmtId="164" fontId="0" fillId="9" borderId="27" xfId="2" applyNumberFormat="1" applyFont="1" applyFill="1" applyBorder="1"/>
    <xf numFmtId="164" fontId="0" fillId="5" borderId="27" xfId="2" applyNumberFormat="1" applyFont="1" applyFill="1" applyBorder="1"/>
    <xf numFmtId="164" fontId="19" fillId="0" borderId="27" xfId="2" applyNumberFormat="1" applyFont="1" applyFill="1" applyBorder="1"/>
    <xf numFmtId="164" fontId="2" fillId="4" borderId="0" xfId="2" applyNumberFormat="1" applyFont="1" applyFill="1" applyBorder="1"/>
    <xf numFmtId="0" fontId="0" fillId="0" borderId="1" xfId="0" applyBorder="1"/>
    <xf numFmtId="164" fontId="0" fillId="0" borderId="2" xfId="2" applyNumberFormat="1" applyFont="1" applyBorder="1"/>
    <xf numFmtId="164" fontId="0" fillId="0" borderId="2" xfId="2" applyNumberFormat="1" applyFont="1" applyFill="1" applyBorder="1"/>
    <xf numFmtId="164" fontId="2" fillId="4" borderId="3" xfId="2" applyNumberFormat="1" applyFont="1" applyFill="1" applyBorder="1"/>
    <xf numFmtId="0" fontId="12" fillId="4" borderId="4" xfId="0" applyFont="1" applyFill="1" applyBorder="1" applyAlignment="1">
      <alignment horizontal="center" vertical="center" wrapText="1"/>
    </xf>
    <xf numFmtId="164" fontId="12" fillId="4" borderId="0" xfId="2" applyNumberFormat="1" applyFont="1" applyFill="1" applyBorder="1" applyAlignment="1">
      <alignment horizontal="center" vertical="center" wrapText="1"/>
    </xf>
    <xf numFmtId="164" fontId="12" fillId="4" borderId="5" xfId="2" applyNumberFormat="1" applyFont="1" applyFill="1" applyBorder="1" applyAlignment="1">
      <alignment horizontal="center" vertical="center" wrapText="1"/>
    </xf>
    <xf numFmtId="164" fontId="0" fillId="5" borderId="5" xfId="2" applyNumberFormat="1" applyFont="1" applyFill="1" applyBorder="1"/>
    <xf numFmtId="0" fontId="0" fillId="0" borderId="4" xfId="0" applyFill="1" applyBorder="1"/>
    <xf numFmtId="0" fontId="0" fillId="0" borderId="4" xfId="0" applyBorder="1" applyAlignment="1">
      <alignment wrapText="1"/>
    </xf>
    <xf numFmtId="0" fontId="0" fillId="0" borderId="13" xfId="0" applyFill="1" applyBorder="1"/>
    <xf numFmtId="164" fontId="0" fillId="5" borderId="14" xfId="2" applyNumberFormat="1" applyFont="1" applyFill="1" applyBorder="1"/>
    <xf numFmtId="0" fontId="2" fillId="5" borderId="6" xfId="0" applyFont="1" applyFill="1" applyBorder="1"/>
    <xf numFmtId="164" fontId="2" fillId="5" borderId="7" xfId="2" applyNumberFormat="1" applyFont="1" applyFill="1" applyBorder="1"/>
    <xf numFmtId="164" fontId="2" fillId="5" borderId="8" xfId="2" applyNumberFormat="1" applyFont="1" applyFill="1" applyBorder="1"/>
    <xf numFmtId="164" fontId="2" fillId="5" borderId="0" xfId="2" applyNumberFormat="1" applyFont="1" applyFill="1"/>
    <xf numFmtId="0" fontId="2" fillId="5" borderId="0" xfId="0" applyFont="1" applyFill="1"/>
    <xf numFmtId="0" fontId="20" fillId="4" borderId="1" xfId="0" applyFont="1" applyFill="1" applyBorder="1" applyAlignment="1">
      <alignment horizontal="center"/>
    </xf>
    <xf numFmtId="0" fontId="20" fillId="4" borderId="2" xfId="0" applyFont="1" applyFill="1" applyBorder="1" applyAlignment="1">
      <alignment horizontal="center"/>
    </xf>
    <xf numFmtId="0" fontId="20" fillId="4" borderId="3" xfId="0" applyFont="1" applyFill="1" applyBorder="1" applyAlignment="1">
      <alignment horizontal="center"/>
    </xf>
    <xf numFmtId="0" fontId="3" fillId="5" borderId="2" xfId="0" applyFont="1" applyFill="1" applyBorder="1" applyAlignment="1">
      <alignment horizontal="center" vertical="center" wrapText="1"/>
    </xf>
    <xf numFmtId="0" fontId="26" fillId="0" borderId="7" xfId="0" applyFont="1" applyBorder="1" applyAlignment="1">
      <alignment horizontal="left" wrapText="1"/>
    </xf>
    <xf numFmtId="0" fontId="20" fillId="4" borderId="0" xfId="0" applyFont="1" applyFill="1" applyAlignment="1">
      <alignment horizontal="center"/>
    </xf>
    <xf numFmtId="0" fontId="20" fillId="4" borderId="10" xfId="0" applyFont="1" applyFill="1" applyBorder="1" applyAlignment="1">
      <alignment horizontal="center"/>
    </xf>
    <xf numFmtId="0" fontId="20" fillId="4" borderId="11" xfId="0" applyFont="1" applyFill="1" applyBorder="1" applyAlignment="1">
      <alignment horizontal="center"/>
    </xf>
    <xf numFmtId="0" fontId="20" fillId="4" borderId="12" xfId="0" applyFont="1" applyFill="1" applyBorder="1" applyAlignment="1">
      <alignment horizontal="center"/>
    </xf>
    <xf numFmtId="0" fontId="3" fillId="4" borderId="0" xfId="0" applyFont="1" applyFill="1" applyAlignment="1">
      <alignment horizontal="left"/>
    </xf>
    <xf numFmtId="0" fontId="2" fillId="4" borderId="10" xfId="0" applyFont="1" applyFill="1" applyBorder="1" applyAlignment="1">
      <alignment horizontal="center" vertical="center"/>
    </xf>
    <xf numFmtId="0" fontId="2" fillId="4" borderId="6" xfId="0" applyFont="1" applyFill="1" applyBorder="1" applyAlignment="1">
      <alignment horizontal="center" vertical="center"/>
    </xf>
    <xf numFmtId="0" fontId="3" fillId="4" borderId="10" xfId="0" applyFont="1" applyFill="1" applyBorder="1" applyAlignment="1">
      <alignment horizontal="left"/>
    </xf>
    <xf numFmtId="0" fontId="3" fillId="4" borderId="11" xfId="0" applyFont="1" applyFill="1" applyBorder="1" applyAlignment="1">
      <alignment horizontal="left"/>
    </xf>
    <xf numFmtId="0" fontId="3" fillId="4" borderId="0" xfId="0" applyFont="1" applyFill="1" applyBorder="1" applyAlignment="1">
      <alignment horizontal="center"/>
    </xf>
    <xf numFmtId="0" fontId="3" fillId="4" borderId="7" xfId="0" applyFont="1" applyFill="1" applyBorder="1" applyAlignment="1">
      <alignment horizontal="left"/>
    </xf>
    <xf numFmtId="164" fontId="2" fillId="4" borderId="10" xfId="2" applyNumberFormat="1" applyFont="1" applyFill="1" applyBorder="1" applyAlignment="1">
      <alignment horizontal="center" wrapText="1"/>
    </xf>
    <xf numFmtId="164" fontId="2" fillId="4" borderId="4" xfId="2" applyNumberFormat="1" applyFont="1" applyFill="1" applyBorder="1" applyAlignment="1">
      <alignment horizontal="center" wrapText="1"/>
    </xf>
    <xf numFmtId="0" fontId="25" fillId="0" borderId="0" xfId="0" applyFont="1" applyAlignment="1">
      <alignment horizontal="center"/>
    </xf>
    <xf numFmtId="0" fontId="3" fillId="0" borderId="0" xfId="0" applyFont="1" applyAlignment="1">
      <alignment horizontal="center"/>
    </xf>
    <xf numFmtId="0" fontId="17" fillId="7" borderId="1" xfId="0" applyFont="1" applyFill="1" applyBorder="1" applyAlignment="1">
      <alignment horizontal="center"/>
    </xf>
    <xf numFmtId="0" fontId="17" fillId="7" borderId="2" xfId="0" applyFont="1" applyFill="1" applyBorder="1" applyAlignment="1">
      <alignment horizontal="center"/>
    </xf>
    <xf numFmtId="0" fontId="17" fillId="7" borderId="3" xfId="0" applyFont="1" applyFill="1" applyBorder="1" applyAlignment="1">
      <alignment horizontal="center"/>
    </xf>
    <xf numFmtId="0" fontId="17" fillId="7" borderId="7" xfId="0" applyFont="1" applyFill="1" applyBorder="1" applyAlignment="1">
      <alignment horizontal="center"/>
    </xf>
    <xf numFmtId="0" fontId="17" fillId="7" borderId="8" xfId="0" applyFont="1" applyFill="1" applyBorder="1" applyAlignment="1">
      <alignment horizontal="center"/>
    </xf>
    <xf numFmtId="0" fontId="3" fillId="4" borderId="10" xfId="0" applyFont="1" applyFill="1" applyBorder="1" applyAlignment="1">
      <alignment horizontal="center"/>
    </xf>
    <xf numFmtId="0" fontId="3" fillId="4" borderId="11" xfId="0" applyFont="1" applyFill="1" applyBorder="1" applyAlignment="1">
      <alignment horizontal="center"/>
    </xf>
    <xf numFmtId="0" fontId="3" fillId="4" borderId="12" xfId="0" applyFont="1" applyFill="1" applyBorder="1" applyAlignment="1">
      <alignment horizont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arb.ca.gov/fuels/lcfs/guidance/regguidance_16-04.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77"/>
  <sheetViews>
    <sheetView topLeftCell="A33" workbookViewId="0">
      <selection activeCell="H15" sqref="H15"/>
    </sheetView>
    <sheetView workbookViewId="1"/>
  </sheetViews>
  <sheetFormatPr defaultRowHeight="14.4" x14ac:dyDescent="0.3"/>
  <cols>
    <col min="1" max="1" width="58.33203125" customWidth="1"/>
    <col min="2" max="2" width="19.109375" style="2" customWidth="1"/>
    <col min="3" max="3" width="20.5546875" style="2" customWidth="1"/>
    <col min="4" max="4" width="19.109375" style="2" customWidth="1"/>
    <col min="5" max="5" width="20.21875" style="2" customWidth="1"/>
    <col min="6" max="7" width="19.109375" style="2" customWidth="1"/>
    <col min="8" max="8" width="110.88671875" customWidth="1"/>
    <col min="9" max="9" width="22.109375" customWidth="1"/>
    <col min="12" max="12" width="14.21875" customWidth="1"/>
    <col min="14" max="14" width="9.5546875" bestFit="1" customWidth="1"/>
  </cols>
  <sheetData>
    <row r="1" spans="1:17" ht="15" thickBot="1" x14ac:dyDescent="0.35"/>
    <row r="2" spans="1:17" ht="21.6" thickBot="1" x14ac:dyDescent="0.45">
      <c r="A2" s="437" t="s">
        <v>352</v>
      </c>
      <c r="B2" s="438"/>
      <c r="C2" s="438"/>
      <c r="D2" s="438"/>
      <c r="E2" s="439"/>
    </row>
    <row r="3" spans="1:17" ht="28.8" x14ac:dyDescent="0.3">
      <c r="A3" s="219" t="s">
        <v>3</v>
      </c>
      <c r="B3" s="202" t="s">
        <v>253</v>
      </c>
      <c r="C3" s="202" t="s">
        <v>350</v>
      </c>
      <c r="D3" s="203" t="s">
        <v>255</v>
      </c>
      <c r="E3" s="204" t="s">
        <v>256</v>
      </c>
    </row>
    <row r="4" spans="1:17" x14ac:dyDescent="0.3">
      <c r="A4" s="205" t="s">
        <v>200</v>
      </c>
      <c r="B4" s="160">
        <f>Costs!B35</f>
        <v>7034202</v>
      </c>
      <c r="C4" s="160">
        <v>625000</v>
      </c>
      <c r="D4" s="160">
        <f>B4-C4</f>
        <v>6409202</v>
      </c>
      <c r="E4" s="282">
        <f>D4</f>
        <v>6409202</v>
      </c>
    </row>
    <row r="5" spans="1:17" x14ac:dyDescent="0.3">
      <c r="A5" s="205" t="s">
        <v>201</v>
      </c>
      <c r="B5" s="160">
        <f>Costs!C35</f>
        <v>2956330</v>
      </c>
      <c r="C5" s="160">
        <v>250000</v>
      </c>
      <c r="D5" s="160">
        <f t="shared" ref="D5:D8" si="0">B5-C5</f>
        <v>2706330</v>
      </c>
      <c r="E5" s="282">
        <f>D5</f>
        <v>2706330</v>
      </c>
    </row>
    <row r="6" spans="1:17" x14ac:dyDescent="0.3">
      <c r="A6" s="205" t="s">
        <v>296</v>
      </c>
      <c r="B6" s="160">
        <f>Costs!D35</f>
        <v>3207366</v>
      </c>
      <c r="C6" s="160">
        <v>250000</v>
      </c>
      <c r="D6" s="160">
        <f t="shared" si="0"/>
        <v>2957366</v>
      </c>
      <c r="E6" s="282">
        <f>D6</f>
        <v>2957366</v>
      </c>
    </row>
    <row r="7" spans="1:17" x14ac:dyDescent="0.3">
      <c r="A7" s="205" t="s">
        <v>202</v>
      </c>
      <c r="B7" s="160">
        <f>Costs!E35</f>
        <v>2481588.4</v>
      </c>
      <c r="C7" s="160">
        <v>250000</v>
      </c>
      <c r="D7" s="160">
        <f t="shared" si="0"/>
        <v>2231588.4</v>
      </c>
      <c r="E7" s="282">
        <f>D7</f>
        <v>2231588.4</v>
      </c>
    </row>
    <row r="8" spans="1:17" ht="15" thickBot="1" x14ac:dyDescent="0.35">
      <c r="A8" s="206" t="s">
        <v>203</v>
      </c>
      <c r="B8" s="15">
        <f>Costs!F35</f>
        <v>2690770</v>
      </c>
      <c r="C8" s="15">
        <v>250000</v>
      </c>
      <c r="D8" s="15">
        <f t="shared" si="0"/>
        <v>2440770</v>
      </c>
      <c r="E8" s="297">
        <f>D8</f>
        <v>2440770</v>
      </c>
    </row>
    <row r="9" spans="1:17" s="234" customFormat="1" ht="16.8" thickTop="1" thickBot="1" x14ac:dyDescent="0.35">
      <c r="A9" s="383"/>
      <c r="B9" s="384">
        <f>SUM(B4:B8)</f>
        <v>18370256.399999999</v>
      </c>
      <c r="C9" s="384">
        <f>SUM(C4:C8)</f>
        <v>1625000</v>
      </c>
      <c r="D9" s="385">
        <f>B9-C9</f>
        <v>16745256.399999999</v>
      </c>
      <c r="E9" s="386">
        <f>SUM(E4:E8)</f>
        <v>16745256.4</v>
      </c>
      <c r="F9" s="69"/>
      <c r="G9" s="69"/>
      <c r="H9" s="234">
        <v>16885592</v>
      </c>
    </row>
    <row r="10" spans="1:17" s="379" customFormat="1" ht="37.200000000000003" hidden="1" customHeight="1" thickBot="1" x14ac:dyDescent="0.35">
      <c r="A10" s="376" t="s">
        <v>421</v>
      </c>
      <c r="B10" s="377" t="s">
        <v>200</v>
      </c>
      <c r="C10" s="378" t="s">
        <v>201</v>
      </c>
      <c r="D10" s="378" t="s">
        <v>296</v>
      </c>
      <c r="E10" s="378" t="s">
        <v>202</v>
      </c>
      <c r="F10" s="378" t="s">
        <v>203</v>
      </c>
      <c r="G10" s="392" t="s">
        <v>427</v>
      </c>
      <c r="H10" s="379" t="s">
        <v>222</v>
      </c>
      <c r="I10" s="440"/>
      <c r="J10" s="440"/>
      <c r="K10" s="440"/>
      <c r="O10" s="440"/>
      <c r="P10" s="440"/>
      <c r="Q10" s="440"/>
    </row>
    <row r="11" spans="1:17" hidden="1" x14ac:dyDescent="0.3">
      <c r="A11" s="155" t="s">
        <v>195</v>
      </c>
      <c r="B11" s="2">
        <v>625000</v>
      </c>
      <c r="C11" s="2">
        <v>250000</v>
      </c>
      <c r="D11" s="2">
        <v>250000</v>
      </c>
      <c r="E11" s="2">
        <v>250000</v>
      </c>
      <c r="F11" s="2">
        <v>250000</v>
      </c>
      <c r="G11" s="393">
        <f>SUM(B11:F11)</f>
        <v>1625000</v>
      </c>
      <c r="H11" t="s">
        <v>231</v>
      </c>
      <c r="I11" t="s">
        <v>232</v>
      </c>
    </row>
    <row r="12" spans="1:17" s="11" customFormat="1" ht="15" hidden="1" thickBot="1" x14ac:dyDescent="0.35">
      <c r="A12" s="11" t="s">
        <v>229</v>
      </c>
      <c r="B12" s="15">
        <f>E4</f>
        <v>6409202</v>
      </c>
      <c r="C12" s="15">
        <f>E5</f>
        <v>2706330</v>
      </c>
      <c r="D12" s="15">
        <f>E6</f>
        <v>2957366</v>
      </c>
      <c r="E12" s="15">
        <f>E7</f>
        <v>2231588.4</v>
      </c>
      <c r="F12" s="15">
        <f>E8</f>
        <v>2440770</v>
      </c>
      <c r="G12" s="394">
        <f>SUM(B12:F12)</f>
        <v>16745256.4</v>
      </c>
    </row>
    <row r="13" spans="1:17" s="56" customFormat="1" ht="16.8" hidden="1" thickTop="1" thickBot="1" x14ac:dyDescent="0.35">
      <c r="A13" s="56" t="s">
        <v>252</v>
      </c>
      <c r="B13" s="382">
        <f>SUM(B11:B12)</f>
        <v>7034202</v>
      </c>
      <c r="C13" s="382">
        <f t="shared" ref="C13:F13" si="1">SUM(C11:C12)</f>
        <v>2956330</v>
      </c>
      <c r="D13" s="382">
        <f t="shared" si="1"/>
        <v>3207366</v>
      </c>
      <c r="E13" s="382">
        <f t="shared" si="1"/>
        <v>2481588.4</v>
      </c>
      <c r="F13" s="382">
        <f t="shared" si="1"/>
        <v>2690770</v>
      </c>
      <c r="G13" s="395">
        <f>SUM(B13:F13)</f>
        <v>18370256.399999999</v>
      </c>
    </row>
    <row r="14" spans="1:17" s="380" customFormat="1" ht="35.4" hidden="1" customHeight="1" thickBot="1" x14ac:dyDescent="0.35">
      <c r="B14" s="381"/>
      <c r="C14" s="381"/>
      <c r="D14" s="381"/>
      <c r="E14" s="381"/>
      <c r="F14" s="381"/>
      <c r="G14" s="381"/>
    </row>
    <row r="15" spans="1:17" ht="21.6" thickBot="1" x14ac:dyDescent="0.45">
      <c r="A15" s="437" t="s">
        <v>353</v>
      </c>
      <c r="B15" s="438"/>
      <c r="C15" s="438"/>
      <c r="D15" s="438"/>
      <c r="E15" s="439"/>
    </row>
    <row r="16" spans="1:17" ht="29.4" thickBot="1" x14ac:dyDescent="0.35">
      <c r="A16" s="370" t="s">
        <v>3</v>
      </c>
      <c r="B16" s="202" t="s">
        <v>253</v>
      </c>
      <c r="C16" s="202" t="s">
        <v>254</v>
      </c>
      <c r="D16" s="203" t="s">
        <v>255</v>
      </c>
      <c r="E16" s="204" t="s">
        <v>341</v>
      </c>
    </row>
    <row r="17" spans="1:17" ht="15" thickBot="1" x14ac:dyDescent="0.35">
      <c r="A17" s="372" t="s">
        <v>416</v>
      </c>
      <c r="B17" s="373">
        <f>SUM(B39:F39)</f>
        <v>2144496.0110207279</v>
      </c>
      <c r="C17" s="374">
        <f>SUM(B30:F30)</f>
        <v>2144496.5108433738</v>
      </c>
      <c r="D17" s="374">
        <f>C17-B17</f>
        <v>0.49982264591380954</v>
      </c>
      <c r="E17" s="375">
        <f>D17</f>
        <v>0.49982264591380954</v>
      </c>
    </row>
    <row r="18" spans="1:17" ht="15" thickBot="1" x14ac:dyDescent="0.35">
      <c r="A18" s="420" t="s">
        <v>423</v>
      </c>
      <c r="B18" s="421">
        <f>SUM(B60:F60)</f>
        <v>2144496.0110207279</v>
      </c>
      <c r="C18" s="422">
        <f>SUM(B59:F59)</f>
        <v>2144496.3108433741</v>
      </c>
      <c r="D18" s="422">
        <f>C18-B18</f>
        <v>0.29982264619320631</v>
      </c>
      <c r="E18" s="423">
        <f>D18</f>
        <v>0.29982264619320631</v>
      </c>
    </row>
    <row r="19" spans="1:17" ht="37.799999999999997" customHeight="1" thickBot="1" x14ac:dyDescent="0.35">
      <c r="A19" s="441" t="s">
        <v>428</v>
      </c>
      <c r="B19" s="441"/>
      <c r="C19" s="441"/>
      <c r="D19" s="441"/>
      <c r="E19" s="419"/>
    </row>
    <row r="20" spans="1:17" s="379" customFormat="1" ht="37.200000000000003" customHeight="1" thickBot="1" x14ac:dyDescent="0.35">
      <c r="A20" s="376" t="s">
        <v>230</v>
      </c>
      <c r="B20" s="377" t="s">
        <v>200</v>
      </c>
      <c r="C20" s="378" t="s">
        <v>417</v>
      </c>
      <c r="D20" s="378" t="s">
        <v>418</v>
      </c>
      <c r="E20" s="378" t="s">
        <v>419</v>
      </c>
      <c r="F20" s="378" t="s">
        <v>420</v>
      </c>
      <c r="G20" s="378" t="s">
        <v>427</v>
      </c>
      <c r="H20" s="379" t="s">
        <v>222</v>
      </c>
      <c r="I20" s="440"/>
      <c r="J20" s="440"/>
      <c r="K20" s="440"/>
      <c r="O20" s="440"/>
      <c r="P20" s="440"/>
      <c r="Q20" s="440"/>
    </row>
    <row r="21" spans="1:17" s="169" customFormat="1" ht="17.399999999999999" customHeight="1" thickBot="1" x14ac:dyDescent="0.35">
      <c r="A21" s="196" t="s">
        <v>367</v>
      </c>
      <c r="B21" s="295"/>
      <c r="C21" s="295"/>
      <c r="D21" s="295"/>
      <c r="E21" s="296"/>
      <c r="F21" s="296"/>
      <c r="G21" s="296"/>
    </row>
    <row r="22" spans="1:17" s="363" customFormat="1" ht="17.399999999999999" hidden="1" customHeight="1" x14ac:dyDescent="0.3">
      <c r="B22" s="338">
        <f>IF((B39-B38)&lt;0,0,(B40))</f>
        <v>0</v>
      </c>
      <c r="C22" s="338">
        <f>IF((C39-C38)&lt;0,0,(C42))</f>
        <v>0</v>
      </c>
      <c r="D22" s="364"/>
      <c r="E22" s="365"/>
      <c r="F22" s="365"/>
      <c r="G22" s="365"/>
    </row>
    <row r="23" spans="1:17" s="139" customFormat="1" ht="15" customHeight="1" x14ac:dyDescent="0.3">
      <c r="A23" s="390" t="s">
        <v>194</v>
      </c>
      <c r="B23" s="366">
        <v>206972</v>
      </c>
      <c r="D23" s="338"/>
      <c r="E23" s="338"/>
      <c r="F23" s="338"/>
      <c r="G23" s="396">
        <f>SUM(B23:F23)</f>
        <v>206972</v>
      </c>
      <c r="H23" s="139" t="s">
        <v>342</v>
      </c>
    </row>
    <row r="24" spans="1:17" s="139" customFormat="1" x14ac:dyDescent="0.3">
      <c r="A24" s="390" t="s">
        <v>399</v>
      </c>
      <c r="B24" s="367"/>
      <c r="C24" s="368"/>
      <c r="D24" s="367">
        <v>150000</v>
      </c>
      <c r="E24" s="367"/>
      <c r="F24" s="367"/>
      <c r="G24" s="397">
        <f t="shared" ref="G24:G30" si="2">SUM(B24:F24)</f>
        <v>150000</v>
      </c>
      <c r="H24" s="139" t="s">
        <v>415</v>
      </c>
    </row>
    <row r="25" spans="1:17" s="139" customFormat="1" x14ac:dyDescent="0.3">
      <c r="A25" s="390" t="s">
        <v>414</v>
      </c>
      <c r="B25" s="367">
        <f>'Fare Analysis'!D22</f>
        <v>624360</v>
      </c>
      <c r="C25" s="367">
        <f>'Fare Analysis'!D41</f>
        <v>22800</v>
      </c>
      <c r="D25" s="367">
        <f>'Fare Analysis'!D42</f>
        <v>3750</v>
      </c>
      <c r="E25" s="367">
        <f>'Fare Analysis'!D43</f>
        <v>818640</v>
      </c>
      <c r="F25" s="367">
        <f>'Fare Analysis'!D44</f>
        <v>5010</v>
      </c>
      <c r="G25" s="397">
        <f t="shared" si="2"/>
        <v>1474560</v>
      </c>
      <c r="H25" s="139" t="s">
        <v>260</v>
      </c>
    </row>
    <row r="26" spans="1:17" s="139" customFormat="1" x14ac:dyDescent="0.3">
      <c r="A26" s="390" t="s">
        <v>218</v>
      </c>
      <c r="B26" s="338"/>
      <c r="C26" s="338"/>
      <c r="D26" s="338">
        <v>200000</v>
      </c>
      <c r="E26" s="338"/>
      <c r="F26" s="338"/>
      <c r="G26" s="397">
        <f t="shared" si="2"/>
        <v>200000</v>
      </c>
      <c r="H26" s="339" t="s">
        <v>221</v>
      </c>
      <c r="I26" s="139" t="s">
        <v>351</v>
      </c>
    </row>
    <row r="27" spans="1:17" x14ac:dyDescent="0.3">
      <c r="A27" s="390" t="s">
        <v>300</v>
      </c>
      <c r="B27" s="2" t="s">
        <v>402</v>
      </c>
      <c r="D27" s="2">
        <v>8000</v>
      </c>
      <c r="G27" s="397">
        <f t="shared" si="2"/>
        <v>8000</v>
      </c>
      <c r="H27" s="1" t="s">
        <v>223</v>
      </c>
      <c r="N27" s="3">
        <f>SUM(B26:B29)</f>
        <v>36256.000000000007</v>
      </c>
    </row>
    <row r="28" spans="1:17" x14ac:dyDescent="0.3">
      <c r="A28" s="390" t="s">
        <v>299</v>
      </c>
      <c r="E28" s="2">
        <v>10000</v>
      </c>
      <c r="G28" s="397">
        <f t="shared" si="2"/>
        <v>10000</v>
      </c>
      <c r="H28" s="1" t="s">
        <v>224</v>
      </c>
    </row>
    <row r="29" spans="1:17" s="291" customFormat="1" ht="15" thickBot="1" x14ac:dyDescent="0.35">
      <c r="A29" s="391" t="s">
        <v>247</v>
      </c>
      <c r="B29" s="340">
        <f>LCFS!J11</f>
        <v>36256.000000000007</v>
      </c>
      <c r="C29" s="340">
        <f>LCFS!J12</f>
        <v>16380.722891566265</v>
      </c>
      <c r="D29" s="340">
        <f>LCFS!J13</f>
        <v>15288.674698795183</v>
      </c>
      <c r="E29" s="340">
        <f>LCFS!J14</f>
        <v>16118.631325301207</v>
      </c>
      <c r="F29" s="340">
        <f>LCFS!J15</f>
        <v>10920.481927710844</v>
      </c>
      <c r="G29" s="398">
        <f t="shared" si="2"/>
        <v>94964.5108433735</v>
      </c>
      <c r="H29" s="341" t="s">
        <v>251</v>
      </c>
    </row>
    <row r="30" spans="1:17" s="337" customFormat="1" ht="15.6" thickTop="1" thickBot="1" x14ac:dyDescent="0.35">
      <c r="A30" s="334" t="s">
        <v>369</v>
      </c>
      <c r="B30" s="335">
        <f>SUM(B23:B29)</f>
        <v>867588</v>
      </c>
      <c r="C30" s="335">
        <f>SUM(C24:C29)</f>
        <v>39180.722891566264</v>
      </c>
      <c r="D30" s="335">
        <f>SUM(D24:D29)</f>
        <v>377038.67469879519</v>
      </c>
      <c r="E30" s="335">
        <f>SUM(E24:E29)</f>
        <v>844758.63132530125</v>
      </c>
      <c r="F30" s="335">
        <f>SUM(F24:F29)</f>
        <v>15930.481927710844</v>
      </c>
      <c r="G30" s="399">
        <f t="shared" si="2"/>
        <v>2144496.5108433738</v>
      </c>
      <c r="H30" s="336"/>
    </row>
    <row r="31" spans="1:17" s="169" customFormat="1" ht="21.6" customHeight="1" thickBot="1" x14ac:dyDescent="0.35">
      <c r="A31" s="196" t="s">
        <v>425</v>
      </c>
      <c r="B31" s="295"/>
      <c r="C31" s="295"/>
      <c r="D31" s="295"/>
      <c r="E31" s="296"/>
      <c r="F31" s="296"/>
      <c r="G31" s="296"/>
    </row>
    <row r="32" spans="1:17" s="236" customFormat="1" x14ac:dyDescent="0.3">
      <c r="A32" s="400" t="s">
        <v>368</v>
      </c>
      <c r="B32" s="235">
        <f>10*50*365</f>
        <v>182500</v>
      </c>
      <c r="C32" s="235"/>
      <c r="D32" s="235"/>
      <c r="E32" s="235"/>
      <c r="F32" s="235"/>
      <c r="G32" s="409">
        <f>SUM(B32:F32)</f>
        <v>182500</v>
      </c>
      <c r="H32" s="401" t="s">
        <v>372</v>
      </c>
    </row>
    <row r="33" spans="1:8" s="236" customFormat="1" x14ac:dyDescent="0.3">
      <c r="A33" s="236" t="s">
        <v>217</v>
      </c>
      <c r="B33" s="235">
        <f>+B53</f>
        <v>85000</v>
      </c>
      <c r="C33" s="235"/>
      <c r="D33" s="235"/>
      <c r="E33" s="235"/>
      <c r="F33" s="235"/>
      <c r="G33" s="410">
        <f t="shared" ref="G33:G40" si="3">SUM(B33:F33)</f>
        <v>85000</v>
      </c>
      <c r="H33" s="236" t="s">
        <v>258</v>
      </c>
    </row>
    <row r="34" spans="1:8" s="236" customFormat="1" x14ac:dyDescent="0.3">
      <c r="A34" s="400" t="s">
        <v>225</v>
      </c>
      <c r="B34" s="235">
        <f>+B54</f>
        <v>170000</v>
      </c>
      <c r="C34" s="235"/>
      <c r="D34" s="235"/>
      <c r="E34" s="235"/>
      <c r="F34" s="235"/>
      <c r="G34" s="410">
        <f t="shared" si="3"/>
        <v>170000</v>
      </c>
      <c r="H34" s="401" t="s">
        <v>371</v>
      </c>
    </row>
    <row r="35" spans="1:8" s="236" customFormat="1" x14ac:dyDescent="0.3">
      <c r="A35" s="400" t="s">
        <v>143</v>
      </c>
      <c r="B35" s="235"/>
      <c r="C35" s="235">
        <v>200000</v>
      </c>
      <c r="D35" s="235">
        <v>100000</v>
      </c>
      <c r="E35" s="235">
        <v>100000</v>
      </c>
      <c r="F35" s="235">
        <v>200000</v>
      </c>
      <c r="G35" s="410">
        <f t="shared" si="3"/>
        <v>600000</v>
      </c>
      <c r="H35" s="401" t="s">
        <v>398</v>
      </c>
    </row>
    <row r="36" spans="1:8" s="245" customFormat="1" ht="15" thickBot="1" x14ac:dyDescent="0.35">
      <c r="A36" s="402" t="s">
        <v>227</v>
      </c>
      <c r="B36" s="403"/>
      <c r="C36" s="403"/>
      <c r="D36" s="403"/>
      <c r="E36" s="403">
        <v>100000</v>
      </c>
      <c r="F36" s="403"/>
      <c r="G36" s="416">
        <f t="shared" si="3"/>
        <v>100000</v>
      </c>
      <c r="H36" s="404" t="s">
        <v>228</v>
      </c>
    </row>
    <row r="37" spans="1:8" s="407" customFormat="1" ht="15.6" thickTop="1" thickBot="1" x14ac:dyDescent="0.35">
      <c r="A37" s="405" t="s">
        <v>370</v>
      </c>
      <c r="B37" s="406">
        <f>SUM(B32:B36)</f>
        <v>437500</v>
      </c>
      <c r="C37" s="406">
        <f t="shared" ref="C37:F37" si="4">SUM(C32:C36)</f>
        <v>200000</v>
      </c>
      <c r="D37" s="406">
        <f t="shared" si="4"/>
        <v>100000</v>
      </c>
      <c r="E37" s="406">
        <f t="shared" si="4"/>
        <v>200000</v>
      </c>
      <c r="F37" s="406">
        <f t="shared" si="4"/>
        <v>200000</v>
      </c>
      <c r="G37" s="410">
        <f t="shared" si="3"/>
        <v>1137500</v>
      </c>
      <c r="H37" s="253"/>
    </row>
    <row r="38" spans="1:8" s="332" customFormat="1" x14ac:dyDescent="0.3">
      <c r="A38" s="330" t="s">
        <v>422</v>
      </c>
      <c r="B38" s="331">
        <f>B30</f>
        <v>867588</v>
      </c>
      <c r="C38" s="331">
        <f t="shared" ref="C38:F38" si="5">C30</f>
        <v>39180.722891566264</v>
      </c>
      <c r="D38" s="331">
        <f t="shared" si="5"/>
        <v>377038.67469879519</v>
      </c>
      <c r="E38" s="331">
        <f t="shared" si="5"/>
        <v>844758.63132530125</v>
      </c>
      <c r="F38" s="331">
        <f t="shared" si="5"/>
        <v>15930.481927710844</v>
      </c>
      <c r="G38" s="415">
        <f t="shared" si="3"/>
        <v>2144496.5108433738</v>
      </c>
    </row>
    <row r="39" spans="1:8" s="321" customFormat="1" ht="15" thickBot="1" x14ac:dyDescent="0.35">
      <c r="A39" s="333" t="s">
        <v>348</v>
      </c>
      <c r="B39" s="280">
        <f>Costs!B43</f>
        <v>687576.88258557208</v>
      </c>
      <c r="C39" s="280">
        <f>'Siskiyou Feeder'!C38</f>
        <v>392230.74645438429</v>
      </c>
      <c r="D39" s="280">
        <f>'Shasta Urban Feeder'!C38</f>
        <v>409734.44129278604</v>
      </c>
      <c r="E39" s="280">
        <f>'North Valley Feeder'!C38</f>
        <v>412292.84129278606</v>
      </c>
      <c r="F39" s="280">
        <f>'Lake Feeder'!C38</f>
        <v>242661.0993951998</v>
      </c>
      <c r="G39" s="417">
        <f t="shared" si="3"/>
        <v>2144496.0110207279</v>
      </c>
    </row>
    <row r="40" spans="1:8" s="329" customFormat="1" ht="15.6" thickTop="1" thickBot="1" x14ac:dyDescent="0.35">
      <c r="A40" s="327" t="s">
        <v>255</v>
      </c>
      <c r="B40" s="328">
        <f>B39-B38</f>
        <v>-180011.11741442792</v>
      </c>
      <c r="C40" s="328">
        <f t="shared" ref="C40:F40" si="6">C39-C38</f>
        <v>353050.02356281801</v>
      </c>
      <c r="D40" s="328">
        <f t="shared" si="6"/>
        <v>32695.766593990847</v>
      </c>
      <c r="E40" s="328">
        <f t="shared" si="6"/>
        <v>-432465.79003251519</v>
      </c>
      <c r="F40" s="328">
        <f t="shared" si="6"/>
        <v>226730.61746748895</v>
      </c>
      <c r="G40" s="411">
        <f t="shared" si="3"/>
        <v>-0.4998226453026291</v>
      </c>
    </row>
    <row r="41" spans="1:8" s="157" customFormat="1" x14ac:dyDescent="0.3">
      <c r="A41" s="389"/>
      <c r="B41" s="281"/>
      <c r="C41" s="281"/>
      <c r="D41" s="281"/>
      <c r="E41" s="281"/>
      <c r="F41" s="281"/>
      <c r="G41" s="281"/>
    </row>
    <row r="42" spans="1:8" ht="15" thickBot="1" x14ac:dyDescent="0.35">
      <c r="A42" s="155"/>
    </row>
    <row r="43" spans="1:8" s="169" customFormat="1" ht="21.6" customHeight="1" thickBot="1" x14ac:dyDescent="0.35">
      <c r="A43" s="196" t="s">
        <v>379</v>
      </c>
      <c r="B43" s="295"/>
      <c r="C43" s="295"/>
      <c r="D43" s="295"/>
      <c r="E43" s="296"/>
      <c r="F43" s="296"/>
      <c r="G43" s="296"/>
    </row>
    <row r="44" spans="1:8" s="157" customFormat="1" x14ac:dyDescent="0.3">
      <c r="A44" s="389" t="s">
        <v>399</v>
      </c>
      <c r="B44" s="387"/>
      <c r="C44" s="388"/>
      <c r="D44" s="387">
        <v>150000</v>
      </c>
      <c r="E44" s="387"/>
      <c r="F44" s="387">
        <v>7023</v>
      </c>
      <c r="G44" s="412">
        <f>SUM(B44:F44)</f>
        <v>157023</v>
      </c>
      <c r="H44" s="157" t="s">
        <v>415</v>
      </c>
    </row>
    <row r="45" spans="1:8" x14ac:dyDescent="0.3">
      <c r="A45" s="390" t="s">
        <v>414</v>
      </c>
      <c r="B45" s="338">
        <f>'Fare Analysis'!E22</f>
        <v>674308.8</v>
      </c>
      <c r="C45" s="338">
        <f>'Fare Analysis'!D41</f>
        <v>22800</v>
      </c>
      <c r="D45" s="338">
        <f>'Fare Analysis'!D42</f>
        <v>3750</v>
      </c>
      <c r="E45" s="338">
        <f>'Fare Analysis'!D43</f>
        <v>818640</v>
      </c>
      <c r="F45" s="338">
        <f>'Fare Analysis'!D44</f>
        <v>5010</v>
      </c>
      <c r="G45" s="413">
        <f t="shared" ref="G45:G51" si="7">SUM(B45:F45)</f>
        <v>1524508.8</v>
      </c>
      <c r="H45" t="s">
        <v>260</v>
      </c>
    </row>
    <row r="46" spans="1:8" s="159" customFormat="1" x14ac:dyDescent="0.3">
      <c r="A46" s="389" t="s">
        <v>301</v>
      </c>
      <c r="B46" s="160">
        <v>200000</v>
      </c>
      <c r="C46" s="160"/>
      <c r="D46" s="160"/>
      <c r="E46" s="160"/>
      <c r="F46" s="160"/>
      <c r="G46" s="413">
        <f t="shared" si="7"/>
        <v>200000</v>
      </c>
      <c r="H46" s="159" t="s">
        <v>257</v>
      </c>
    </row>
    <row r="47" spans="1:8" x14ac:dyDescent="0.3">
      <c r="A47" s="390" t="s">
        <v>218</v>
      </c>
      <c r="B47" s="2">
        <v>100000</v>
      </c>
      <c r="D47" s="2">
        <v>50000</v>
      </c>
      <c r="G47" s="413">
        <f t="shared" si="7"/>
        <v>150000</v>
      </c>
      <c r="H47" s="1" t="s">
        <v>221</v>
      </c>
    </row>
    <row r="48" spans="1:8" x14ac:dyDescent="0.3">
      <c r="A48" s="390" t="s">
        <v>219</v>
      </c>
      <c r="B48" s="2">
        <v>8000</v>
      </c>
      <c r="G48" s="413">
        <f t="shared" si="7"/>
        <v>8000</v>
      </c>
      <c r="H48" s="1" t="s">
        <v>223</v>
      </c>
    </row>
    <row r="49" spans="1:8" x14ac:dyDescent="0.3">
      <c r="A49" s="390" t="s">
        <v>220</v>
      </c>
      <c r="E49" s="2">
        <v>10000</v>
      </c>
      <c r="G49" s="413">
        <f t="shared" si="7"/>
        <v>10000</v>
      </c>
      <c r="H49" s="1" t="s">
        <v>224</v>
      </c>
    </row>
    <row r="50" spans="1:8" s="11" customFormat="1" ht="15" thickBot="1" x14ac:dyDescent="0.35">
      <c r="A50" s="391" t="s">
        <v>247</v>
      </c>
      <c r="B50" s="340">
        <v>36256.000000000007</v>
      </c>
      <c r="C50" s="340">
        <v>16380.722891566265</v>
      </c>
      <c r="D50" s="340">
        <v>15288.674698795183</v>
      </c>
      <c r="E50" s="340">
        <v>16118.631325301207</v>
      </c>
      <c r="F50" s="340">
        <v>10920.481927710844</v>
      </c>
      <c r="G50" s="418">
        <f t="shared" si="7"/>
        <v>94964.5108433735</v>
      </c>
      <c r="H50" s="16" t="s">
        <v>251</v>
      </c>
    </row>
    <row r="51" spans="1:8" s="337" customFormat="1" ht="15.6" thickTop="1" thickBot="1" x14ac:dyDescent="0.35">
      <c r="A51" s="334" t="s">
        <v>380</v>
      </c>
      <c r="B51" s="335">
        <f>SUM(B45:B50)</f>
        <v>1018564.8</v>
      </c>
      <c r="C51" s="335">
        <f t="shared" ref="C51:E51" si="8">SUM(C45:C50)</f>
        <v>39180.722891566264</v>
      </c>
      <c r="D51" s="335">
        <f>SUM(D44:D50)</f>
        <v>219038.67469879519</v>
      </c>
      <c r="E51" s="335">
        <f t="shared" si="8"/>
        <v>844758.63132530125</v>
      </c>
      <c r="F51" s="335">
        <f>SUM(F44:F50)</f>
        <v>22953.481927710844</v>
      </c>
      <c r="G51" s="414">
        <f t="shared" si="7"/>
        <v>2144496.3108433741</v>
      </c>
      <c r="H51" s="336"/>
    </row>
    <row r="52" spans="1:8" s="169" customFormat="1" ht="21.6" customHeight="1" thickBot="1" x14ac:dyDescent="0.35">
      <c r="A52" s="196" t="s">
        <v>426</v>
      </c>
      <c r="B52" s="295"/>
      <c r="C52" s="295"/>
      <c r="D52" s="295"/>
      <c r="E52" s="296"/>
      <c r="F52" s="296"/>
      <c r="G52" s="408"/>
    </row>
    <row r="53" spans="1:8" s="236" customFormat="1" x14ac:dyDescent="0.3">
      <c r="A53" s="236" t="s">
        <v>217</v>
      </c>
      <c r="B53" s="235">
        <v>85000</v>
      </c>
      <c r="C53" s="235"/>
      <c r="D53" s="235"/>
      <c r="E53" s="235"/>
      <c r="F53" s="235"/>
      <c r="G53" s="409">
        <f>SUM(B53:F53)</f>
        <v>85000</v>
      </c>
      <c r="H53" s="236" t="s">
        <v>258</v>
      </c>
    </row>
    <row r="54" spans="1:8" s="236" customFormat="1" x14ac:dyDescent="0.3">
      <c r="A54" s="400" t="s">
        <v>225</v>
      </c>
      <c r="B54" s="235">
        <v>170000</v>
      </c>
      <c r="C54" s="235"/>
      <c r="D54" s="235"/>
      <c r="E54" s="235"/>
      <c r="F54" s="235"/>
      <c r="G54" s="410">
        <f t="shared" ref="G54:G60" si="9">SUM(B54:F54)</f>
        <v>170000</v>
      </c>
      <c r="H54" s="401" t="s">
        <v>371</v>
      </c>
    </row>
    <row r="55" spans="1:8" s="236" customFormat="1" x14ac:dyDescent="0.3">
      <c r="A55" s="400" t="s">
        <v>143</v>
      </c>
      <c r="B55" s="235" t="s">
        <v>402</v>
      </c>
      <c r="C55" s="235">
        <v>200000</v>
      </c>
      <c r="D55" s="235">
        <v>100000</v>
      </c>
      <c r="E55" s="235">
        <v>100000</v>
      </c>
      <c r="F55" s="235">
        <v>200000</v>
      </c>
      <c r="G55" s="410">
        <f t="shared" si="9"/>
        <v>600000</v>
      </c>
      <c r="H55" s="401" t="s">
        <v>398</v>
      </c>
    </row>
    <row r="56" spans="1:8" s="236" customFormat="1" x14ac:dyDescent="0.3">
      <c r="A56" s="400" t="s">
        <v>226</v>
      </c>
      <c r="B56" s="235">
        <v>10000</v>
      </c>
      <c r="C56" s="235"/>
      <c r="D56" s="235"/>
      <c r="E56" s="235"/>
      <c r="F56" s="235"/>
      <c r="G56" s="410">
        <f t="shared" si="9"/>
        <v>10000</v>
      </c>
      <c r="H56" s="401" t="s">
        <v>259</v>
      </c>
    </row>
    <row r="57" spans="1:8" s="245" customFormat="1" ht="15" thickBot="1" x14ac:dyDescent="0.35">
      <c r="A57" s="402" t="s">
        <v>368</v>
      </c>
      <c r="B57" s="403">
        <f>+B32</f>
        <v>182500</v>
      </c>
      <c r="C57" s="403"/>
      <c r="D57" s="403"/>
      <c r="E57" s="403"/>
      <c r="F57" s="403"/>
      <c r="G57" s="416">
        <f t="shared" si="9"/>
        <v>182500</v>
      </c>
      <c r="H57" s="404" t="s">
        <v>424</v>
      </c>
    </row>
    <row r="58" spans="1:8" s="407" customFormat="1" ht="15.6" thickTop="1" thickBot="1" x14ac:dyDescent="0.35">
      <c r="A58" s="405" t="s">
        <v>381</v>
      </c>
      <c r="B58" s="406">
        <f>SUM(B53:B57)</f>
        <v>447500</v>
      </c>
      <c r="C58" s="406">
        <f>SUM(C44:C57)</f>
        <v>278361.44578313251</v>
      </c>
      <c r="D58" s="406">
        <f>SUM(D44:D57)</f>
        <v>538077.34939759038</v>
      </c>
      <c r="E58" s="406">
        <f>SUM(E44:E57)</f>
        <v>1789517.2626506025</v>
      </c>
      <c r="F58" s="406">
        <f>SUM(F44:F57)</f>
        <v>245906.96385542169</v>
      </c>
      <c r="G58" s="410">
        <f t="shared" si="9"/>
        <v>3299363.0216867472</v>
      </c>
      <c r="H58" s="253"/>
    </row>
    <row r="59" spans="1:8" s="332" customFormat="1" x14ac:dyDescent="0.3">
      <c r="A59" s="330" t="s">
        <v>422</v>
      </c>
      <c r="B59" s="331">
        <f>B51</f>
        <v>1018564.8</v>
      </c>
      <c r="C59" s="331">
        <f t="shared" ref="C59:F59" si="10">C51</f>
        <v>39180.722891566264</v>
      </c>
      <c r="D59" s="331">
        <f t="shared" si="10"/>
        <v>219038.67469879519</v>
      </c>
      <c r="E59" s="331">
        <f t="shared" si="10"/>
        <v>844758.63132530125</v>
      </c>
      <c r="F59" s="331">
        <f t="shared" si="10"/>
        <v>22953.481927710844</v>
      </c>
      <c r="G59" s="415">
        <f t="shared" si="9"/>
        <v>2144496.3108433741</v>
      </c>
    </row>
    <row r="60" spans="1:8" s="321" customFormat="1" ht="15" thickBot="1" x14ac:dyDescent="0.35">
      <c r="A60" s="333" t="s">
        <v>348</v>
      </c>
      <c r="B60" s="280">
        <f>B39</f>
        <v>687576.88258557208</v>
      </c>
      <c r="C60" s="280">
        <f>C39</f>
        <v>392230.74645438429</v>
      </c>
      <c r="D60" s="280">
        <f>D39</f>
        <v>409734.44129278604</v>
      </c>
      <c r="E60" s="280">
        <f>E39</f>
        <v>412292.84129278606</v>
      </c>
      <c r="F60" s="280">
        <f>F39</f>
        <v>242661.0993951998</v>
      </c>
      <c r="G60" s="417">
        <f t="shared" si="9"/>
        <v>2144496.0110207279</v>
      </c>
    </row>
    <row r="61" spans="1:8" s="329" customFormat="1" ht="15.6" thickTop="1" thickBot="1" x14ac:dyDescent="0.35">
      <c r="A61" s="327" t="s">
        <v>255</v>
      </c>
      <c r="B61" s="328">
        <f>B60-B59</f>
        <v>-330987.91741442797</v>
      </c>
      <c r="C61" s="328">
        <f t="shared" ref="C61:F61" si="11">C60-C59</f>
        <v>353050.02356281801</v>
      </c>
      <c r="D61" s="328">
        <f t="shared" si="11"/>
        <v>190695.76659399085</v>
      </c>
      <c r="E61" s="328">
        <f t="shared" si="11"/>
        <v>-432465.79003251519</v>
      </c>
      <c r="F61" s="328">
        <f t="shared" si="11"/>
        <v>219707.61746748895</v>
      </c>
      <c r="G61" s="411" t="s">
        <v>429</v>
      </c>
    </row>
    <row r="63" spans="1:8" x14ac:dyDescent="0.3">
      <c r="H63" t="s">
        <v>403</v>
      </c>
    </row>
    <row r="64" spans="1:8" x14ac:dyDescent="0.3">
      <c r="A64" s="155" t="s">
        <v>349</v>
      </c>
      <c r="H64" t="s">
        <v>404</v>
      </c>
    </row>
    <row r="65" spans="1:3" x14ac:dyDescent="0.3">
      <c r="A65" t="s">
        <v>196</v>
      </c>
    </row>
    <row r="69" spans="1:3" x14ac:dyDescent="0.3">
      <c r="A69" s="155"/>
    </row>
    <row r="77" spans="1:3" x14ac:dyDescent="0.3">
      <c r="C77" s="2" t="s">
        <v>175</v>
      </c>
    </row>
  </sheetData>
  <mergeCells count="7">
    <mergeCell ref="A2:E2"/>
    <mergeCell ref="A15:E15"/>
    <mergeCell ref="O10:Q10"/>
    <mergeCell ref="I10:K10"/>
    <mergeCell ref="I20:K20"/>
    <mergeCell ref="O20:Q20"/>
    <mergeCell ref="A19:D19"/>
  </mergeCells>
  <pageMargins left="0.7" right="0.7" top="0.75" bottom="0.75" header="0.3" footer="0.3"/>
  <pageSetup paperSize="17" scale="54"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workbookViewId="0">
      <selection sqref="A1:D1"/>
    </sheetView>
    <sheetView workbookViewId="1">
      <selection sqref="A1:D1"/>
    </sheetView>
  </sheetViews>
  <sheetFormatPr defaultColWidth="29.88671875" defaultRowHeight="14.4" x14ac:dyDescent="0.3"/>
  <cols>
    <col min="1" max="1" width="36.33203125" style="105" customWidth="1"/>
    <col min="2" max="2" width="29.88671875" style="105"/>
    <col min="3" max="3" width="22.33203125" style="119" customWidth="1"/>
    <col min="4" max="4" width="22.33203125" style="105" customWidth="1"/>
    <col min="5" max="5" width="16.33203125" style="105" customWidth="1"/>
    <col min="6" max="6" width="32.88671875" customWidth="1"/>
    <col min="7" max="7" width="16.33203125" customWidth="1"/>
    <col min="8" max="8" width="29.88671875" style="106"/>
    <col min="9" max="16384" width="29.88671875" style="105"/>
  </cols>
  <sheetData>
    <row r="1" spans="1:9" s="119" customFormat="1" ht="15" customHeight="1" thickBot="1" x14ac:dyDescent="0.35">
      <c r="A1" s="460" t="s">
        <v>174</v>
      </c>
      <c r="B1" s="460"/>
      <c r="C1" s="460"/>
      <c r="D1" s="461"/>
      <c r="E1" s="457" t="s">
        <v>173</v>
      </c>
      <c r="F1" s="458"/>
      <c r="G1" s="458"/>
      <c r="H1" s="459"/>
    </row>
    <row r="2" spans="1:9" thickBot="1" x14ac:dyDescent="0.35">
      <c r="A2" s="121" t="s">
        <v>8</v>
      </c>
      <c r="B2" s="116" t="s">
        <v>9</v>
      </c>
      <c r="C2" s="116" t="s">
        <v>10</v>
      </c>
      <c r="D2" s="122" t="s">
        <v>11</v>
      </c>
      <c r="E2" s="121" t="s">
        <v>8</v>
      </c>
      <c r="F2" s="116" t="s">
        <v>9</v>
      </c>
      <c r="G2" s="116" t="s">
        <v>10</v>
      </c>
      <c r="H2" s="130" t="s">
        <v>11</v>
      </c>
    </row>
    <row r="3" spans="1:9" ht="13.8" x14ac:dyDescent="0.3">
      <c r="A3" s="107" t="s">
        <v>12</v>
      </c>
      <c r="B3" s="108" t="s">
        <v>13</v>
      </c>
      <c r="C3" s="117" t="s">
        <v>14</v>
      </c>
      <c r="D3" s="109">
        <v>450000</v>
      </c>
      <c r="E3" s="123" t="s">
        <v>12</v>
      </c>
      <c r="F3" s="124" t="s">
        <v>13</v>
      </c>
      <c r="G3" s="125" t="s">
        <v>14</v>
      </c>
      <c r="H3" s="126">
        <v>450000</v>
      </c>
    </row>
    <row r="4" spans="1:9" ht="13.8" x14ac:dyDescent="0.3">
      <c r="A4" s="107" t="s">
        <v>12</v>
      </c>
      <c r="B4" s="108" t="s">
        <v>13</v>
      </c>
      <c r="C4" s="117" t="s">
        <v>15</v>
      </c>
      <c r="D4" s="109">
        <v>595000</v>
      </c>
      <c r="E4" s="107" t="s">
        <v>12</v>
      </c>
      <c r="F4" s="127" t="s">
        <v>13</v>
      </c>
      <c r="G4" s="128" t="s">
        <v>15</v>
      </c>
      <c r="H4" s="110">
        <v>595000</v>
      </c>
    </row>
    <row r="5" spans="1:9" ht="13.8" x14ac:dyDescent="0.3">
      <c r="A5" s="107" t="s">
        <v>12</v>
      </c>
      <c r="B5" s="108" t="s">
        <v>13</v>
      </c>
      <c r="C5" s="117" t="s">
        <v>16</v>
      </c>
      <c r="D5" s="109">
        <v>779000</v>
      </c>
      <c r="E5" s="107" t="s">
        <v>20</v>
      </c>
      <c r="F5" s="127" t="s">
        <v>21</v>
      </c>
      <c r="G5" s="128" t="s">
        <v>22</v>
      </c>
      <c r="H5" s="110">
        <v>628922</v>
      </c>
    </row>
    <row r="6" spans="1:9" ht="13.8" x14ac:dyDescent="0.3">
      <c r="A6" s="107" t="s">
        <v>12</v>
      </c>
      <c r="B6" s="108" t="s">
        <v>17</v>
      </c>
      <c r="C6" s="117" t="s">
        <v>18</v>
      </c>
      <c r="D6" s="109">
        <v>750000</v>
      </c>
      <c r="E6" s="107" t="s">
        <v>20</v>
      </c>
      <c r="F6" s="127" t="s">
        <v>21</v>
      </c>
      <c r="G6" s="128" t="s">
        <v>23</v>
      </c>
      <c r="H6" s="110">
        <v>636872</v>
      </c>
    </row>
    <row r="7" spans="1:9" ht="13.8" x14ac:dyDescent="0.3">
      <c r="A7" s="107" t="s">
        <v>12</v>
      </c>
      <c r="B7" s="108" t="s">
        <v>13</v>
      </c>
      <c r="C7" s="117" t="s">
        <v>19</v>
      </c>
      <c r="D7" s="109">
        <v>1199000</v>
      </c>
      <c r="E7" s="107" t="s">
        <v>20</v>
      </c>
      <c r="F7" s="127" t="s">
        <v>24</v>
      </c>
      <c r="G7" s="128" t="s">
        <v>23</v>
      </c>
      <c r="H7" s="110">
        <v>599472</v>
      </c>
    </row>
    <row r="8" spans="1:9" ht="13.8" x14ac:dyDescent="0.3">
      <c r="A8" s="107" t="s">
        <v>20</v>
      </c>
      <c r="B8" s="108" t="s">
        <v>21</v>
      </c>
      <c r="C8" s="117" t="s">
        <v>22</v>
      </c>
      <c r="D8" s="109">
        <v>628922</v>
      </c>
      <c r="E8" s="107" t="s">
        <v>26</v>
      </c>
      <c r="F8" s="127" t="s">
        <v>27</v>
      </c>
      <c r="G8" s="128" t="s">
        <v>14</v>
      </c>
      <c r="H8" s="110">
        <v>606838</v>
      </c>
    </row>
    <row r="9" spans="1:9" ht="13.8" x14ac:dyDescent="0.3">
      <c r="A9" s="107" t="s">
        <v>20</v>
      </c>
      <c r="B9" s="108" t="s">
        <v>21</v>
      </c>
      <c r="C9" s="117" t="s">
        <v>23</v>
      </c>
      <c r="D9" s="109">
        <v>636872</v>
      </c>
      <c r="E9" s="107" t="s">
        <v>29</v>
      </c>
      <c r="F9" s="127" t="s">
        <v>21</v>
      </c>
      <c r="G9" s="128" t="s">
        <v>23</v>
      </c>
      <c r="H9" s="110">
        <v>623195</v>
      </c>
    </row>
    <row r="10" spans="1:9" thickBot="1" x14ac:dyDescent="0.35">
      <c r="A10" s="107" t="s">
        <v>20</v>
      </c>
      <c r="B10" s="108" t="s">
        <v>24</v>
      </c>
      <c r="C10" s="117" t="s">
        <v>23</v>
      </c>
      <c r="D10" s="109">
        <v>599472</v>
      </c>
      <c r="E10" s="112" t="s">
        <v>29</v>
      </c>
      <c r="F10" s="113" t="s">
        <v>24</v>
      </c>
      <c r="G10" s="118" t="s">
        <v>23</v>
      </c>
      <c r="H10" s="129">
        <v>567927</v>
      </c>
    </row>
    <row r="11" spans="1:9" x14ac:dyDescent="0.3">
      <c r="A11" s="107" t="s">
        <v>20</v>
      </c>
      <c r="B11" s="108" t="s">
        <v>21</v>
      </c>
      <c r="C11" s="117" t="s">
        <v>25</v>
      </c>
      <c r="D11" s="109">
        <v>641072</v>
      </c>
      <c r="H11" s="106">
        <f>SUM(H3:H10)</f>
        <v>4708226</v>
      </c>
      <c r="I11" s="111">
        <f>H11/9</f>
        <v>523136.22222222225</v>
      </c>
    </row>
    <row r="12" spans="1:9" x14ac:dyDescent="0.3">
      <c r="A12" s="107" t="s">
        <v>20</v>
      </c>
      <c r="B12" s="108" t="s">
        <v>24</v>
      </c>
      <c r="C12" s="117" t="s">
        <v>25</v>
      </c>
      <c r="D12" s="109">
        <v>603627</v>
      </c>
    </row>
    <row r="13" spans="1:9" x14ac:dyDescent="0.3">
      <c r="A13" s="107" t="s">
        <v>26</v>
      </c>
      <c r="B13" s="108" t="s">
        <v>27</v>
      </c>
      <c r="C13" s="117" t="s">
        <v>14</v>
      </c>
      <c r="D13" s="109">
        <v>606838</v>
      </c>
    </row>
    <row r="14" spans="1:9" x14ac:dyDescent="0.3">
      <c r="A14" s="107" t="s">
        <v>26</v>
      </c>
      <c r="B14" s="108" t="s">
        <v>27</v>
      </c>
      <c r="C14" s="117" t="s">
        <v>14</v>
      </c>
      <c r="D14" s="109">
        <v>606838</v>
      </c>
    </row>
    <row r="15" spans="1:9" x14ac:dyDescent="0.3">
      <c r="A15" s="107" t="s">
        <v>26</v>
      </c>
      <c r="B15" s="108" t="s">
        <v>27</v>
      </c>
      <c r="C15" s="117" t="s">
        <v>16</v>
      </c>
      <c r="D15" s="109">
        <v>788688</v>
      </c>
    </row>
    <row r="16" spans="1:9" x14ac:dyDescent="0.3">
      <c r="A16" s="107" t="s">
        <v>26</v>
      </c>
      <c r="B16" s="108" t="s">
        <v>27</v>
      </c>
      <c r="C16" s="117" t="s">
        <v>28</v>
      </c>
      <c r="D16" s="109">
        <v>905650</v>
      </c>
    </row>
    <row r="17" spans="1:4" x14ac:dyDescent="0.3">
      <c r="A17" s="107" t="s">
        <v>26</v>
      </c>
      <c r="B17" s="108" t="s">
        <v>17</v>
      </c>
      <c r="C17" s="117" t="s">
        <v>18</v>
      </c>
      <c r="D17" s="109">
        <v>885560</v>
      </c>
    </row>
    <row r="18" spans="1:4" x14ac:dyDescent="0.3">
      <c r="A18" s="107" t="s">
        <v>26</v>
      </c>
      <c r="B18" s="108" t="s">
        <v>27</v>
      </c>
      <c r="C18" s="117" t="s">
        <v>19</v>
      </c>
      <c r="D18" s="109">
        <v>1038600</v>
      </c>
    </row>
    <row r="19" spans="1:4" x14ac:dyDescent="0.3">
      <c r="A19" s="107" t="s">
        <v>29</v>
      </c>
      <c r="B19" s="108" t="s">
        <v>21</v>
      </c>
      <c r="C19" s="117" t="s">
        <v>23</v>
      </c>
      <c r="D19" s="109">
        <v>623195</v>
      </c>
    </row>
    <row r="20" spans="1:4" x14ac:dyDescent="0.3">
      <c r="A20" s="107" t="s">
        <v>29</v>
      </c>
      <c r="B20" s="108" t="s">
        <v>24</v>
      </c>
      <c r="C20" s="117" t="s">
        <v>23</v>
      </c>
      <c r="D20" s="109">
        <v>567927</v>
      </c>
    </row>
    <row r="21" spans="1:4" x14ac:dyDescent="0.3">
      <c r="A21" s="107" t="s">
        <v>29</v>
      </c>
      <c r="B21" s="108" t="s">
        <v>21</v>
      </c>
      <c r="C21" s="117" t="s">
        <v>25</v>
      </c>
      <c r="D21" s="109">
        <v>628195</v>
      </c>
    </row>
    <row r="22" spans="1:4" x14ac:dyDescent="0.3">
      <c r="A22" s="107" t="s">
        <v>29</v>
      </c>
      <c r="B22" s="108" t="s">
        <v>24</v>
      </c>
      <c r="C22" s="117" t="s">
        <v>25</v>
      </c>
      <c r="D22" s="109">
        <v>572927</v>
      </c>
    </row>
    <row r="23" spans="1:4" x14ac:dyDescent="0.3">
      <c r="A23" s="107" t="s">
        <v>29</v>
      </c>
      <c r="B23" s="108" t="s">
        <v>21</v>
      </c>
      <c r="C23" s="117" t="s">
        <v>30</v>
      </c>
      <c r="D23" s="109">
        <v>940688</v>
      </c>
    </row>
    <row r="24" spans="1:4" x14ac:dyDescent="0.3">
      <c r="A24" s="107" t="s">
        <v>29</v>
      </c>
      <c r="B24" s="108" t="s">
        <v>24</v>
      </c>
      <c r="C24" s="117" t="s">
        <v>30</v>
      </c>
      <c r="D24" s="109">
        <v>865452</v>
      </c>
    </row>
    <row r="25" spans="1:4" x14ac:dyDescent="0.3">
      <c r="A25" s="107" t="s">
        <v>29</v>
      </c>
      <c r="B25" s="108" t="s">
        <v>31</v>
      </c>
      <c r="C25" s="117" t="s">
        <v>16</v>
      </c>
      <c r="D25" s="109">
        <v>785000</v>
      </c>
    </row>
    <row r="26" spans="1:4" x14ac:dyDescent="0.3">
      <c r="A26" s="107" t="s">
        <v>32</v>
      </c>
      <c r="B26" s="108" t="s">
        <v>21</v>
      </c>
      <c r="C26" s="117" t="s">
        <v>25</v>
      </c>
      <c r="D26" s="109">
        <v>673923</v>
      </c>
    </row>
    <row r="27" spans="1:4" x14ac:dyDescent="0.3">
      <c r="A27" s="107" t="s">
        <v>32</v>
      </c>
      <c r="B27" s="108" t="s">
        <v>24</v>
      </c>
      <c r="C27" s="117" t="s">
        <v>25</v>
      </c>
      <c r="D27" s="109">
        <v>676604</v>
      </c>
    </row>
    <row r="28" spans="1:4" x14ac:dyDescent="0.3">
      <c r="A28" s="107" t="s">
        <v>32</v>
      </c>
      <c r="B28" s="108" t="s">
        <v>21</v>
      </c>
      <c r="C28" s="117" t="s">
        <v>30</v>
      </c>
      <c r="D28" s="109">
        <v>934476</v>
      </c>
    </row>
    <row r="29" spans="1:4" x14ac:dyDescent="0.3">
      <c r="A29" s="107" t="s">
        <v>32</v>
      </c>
      <c r="B29" s="108" t="s">
        <v>24</v>
      </c>
      <c r="C29" s="117" t="s">
        <v>30</v>
      </c>
      <c r="D29" s="109">
        <v>920764</v>
      </c>
    </row>
    <row r="30" spans="1:4" x14ac:dyDescent="0.3">
      <c r="A30" s="107" t="s">
        <v>33</v>
      </c>
      <c r="B30" s="108" t="s">
        <v>27</v>
      </c>
      <c r="C30" s="117" t="s">
        <v>16</v>
      </c>
      <c r="D30" s="109">
        <v>759000</v>
      </c>
    </row>
    <row r="31" spans="1:4" ht="15" thickBot="1" x14ac:dyDescent="0.35">
      <c r="A31" s="112" t="s">
        <v>33</v>
      </c>
      <c r="B31" s="113" t="s">
        <v>31</v>
      </c>
      <c r="C31" s="118" t="s">
        <v>16</v>
      </c>
      <c r="D31" s="114">
        <v>779000</v>
      </c>
    </row>
    <row r="35" spans="1:8" s="120" customFormat="1" ht="14.4" customHeight="1" x14ac:dyDescent="0.3">
      <c r="A35" s="120" t="s">
        <v>172</v>
      </c>
      <c r="B35" s="120" t="s">
        <v>176</v>
      </c>
      <c r="C35" s="131" t="s">
        <v>177</v>
      </c>
      <c r="F35" s="9"/>
      <c r="G35" s="9"/>
      <c r="H35" s="132"/>
    </row>
    <row r="36" spans="1:8" ht="14.4" customHeight="1" x14ac:dyDescent="0.3">
      <c r="A36" s="115" t="s">
        <v>152</v>
      </c>
      <c r="B36" s="133"/>
      <c r="C36" s="134"/>
    </row>
    <row r="37" spans="1:8" ht="14.4" customHeight="1" x14ac:dyDescent="0.3">
      <c r="A37" s="115" t="s">
        <v>153</v>
      </c>
      <c r="B37" s="133"/>
      <c r="C37" s="134"/>
    </row>
    <row r="38" spans="1:8" ht="14.4" customHeight="1" x14ac:dyDescent="0.3">
      <c r="A38" s="115" t="s">
        <v>154</v>
      </c>
      <c r="B38" s="133"/>
      <c r="C38" s="134"/>
    </row>
    <row r="39" spans="1:8" ht="14.4" customHeight="1" x14ac:dyDescent="0.3">
      <c r="A39" s="115" t="s">
        <v>155</v>
      </c>
      <c r="B39" s="133"/>
      <c r="C39" s="134"/>
    </row>
    <row r="40" spans="1:8" ht="14.4" customHeight="1" x14ac:dyDescent="0.3">
      <c r="A40" s="115" t="s">
        <v>156</v>
      </c>
      <c r="B40" s="133"/>
      <c r="C40" s="134"/>
    </row>
    <row r="41" spans="1:8" ht="14.4" customHeight="1" x14ac:dyDescent="0.3">
      <c r="A41" s="115" t="s">
        <v>157</v>
      </c>
      <c r="B41" s="133"/>
      <c r="C41" s="134"/>
    </row>
    <row r="42" spans="1:8" ht="14.4" customHeight="1" x14ac:dyDescent="0.3">
      <c r="A42" s="115" t="s">
        <v>158</v>
      </c>
      <c r="B42" s="133"/>
      <c r="C42" s="134"/>
    </row>
    <row r="43" spans="1:8" ht="14.4" customHeight="1" x14ac:dyDescent="0.3">
      <c r="A43" s="115" t="s">
        <v>159</v>
      </c>
      <c r="B43" s="133"/>
      <c r="C43" s="134"/>
    </row>
    <row r="44" spans="1:8" ht="14.4" customHeight="1" x14ac:dyDescent="0.3">
      <c r="A44" s="115" t="s">
        <v>160</v>
      </c>
      <c r="B44" s="133"/>
      <c r="C44" s="134"/>
    </row>
    <row r="45" spans="1:8" ht="14.4" customHeight="1" x14ac:dyDescent="0.3">
      <c r="A45" s="115" t="s">
        <v>161</v>
      </c>
      <c r="B45" s="133"/>
      <c r="C45" s="134"/>
    </row>
    <row r="46" spans="1:8" ht="14.4" customHeight="1" x14ac:dyDescent="0.3">
      <c r="A46" s="115" t="s">
        <v>162</v>
      </c>
      <c r="B46" s="133"/>
      <c r="C46" s="134"/>
    </row>
    <row r="47" spans="1:8" ht="14.4" customHeight="1" x14ac:dyDescent="0.3">
      <c r="A47" s="115" t="s">
        <v>163</v>
      </c>
      <c r="B47" s="133"/>
      <c r="C47" s="134"/>
    </row>
    <row r="48" spans="1:8" ht="14.4" customHeight="1" x14ac:dyDescent="0.3">
      <c r="A48" s="115" t="s">
        <v>164</v>
      </c>
      <c r="B48" s="133"/>
      <c r="C48" s="134"/>
    </row>
    <row r="49" spans="1:3" ht="14.4" customHeight="1" x14ac:dyDescent="0.3">
      <c r="A49" s="115" t="s">
        <v>165</v>
      </c>
      <c r="B49" s="133"/>
      <c r="C49" s="134"/>
    </row>
    <row r="50" spans="1:3" ht="14.4" customHeight="1" x14ac:dyDescent="0.3">
      <c r="A50" s="115" t="s">
        <v>166</v>
      </c>
      <c r="B50" s="133"/>
      <c r="C50" s="134"/>
    </row>
    <row r="51" spans="1:3" ht="14.4" customHeight="1" x14ac:dyDescent="0.3">
      <c r="A51" s="115" t="s">
        <v>167</v>
      </c>
      <c r="B51" s="133"/>
      <c r="C51" s="134"/>
    </row>
    <row r="52" spans="1:3" ht="14.4" customHeight="1" x14ac:dyDescent="0.3">
      <c r="A52" s="115" t="s">
        <v>168</v>
      </c>
      <c r="B52" s="133"/>
      <c r="C52" s="134"/>
    </row>
    <row r="53" spans="1:3" ht="14.4" customHeight="1" x14ac:dyDescent="0.3">
      <c r="A53" s="115" t="s">
        <v>169</v>
      </c>
      <c r="B53" s="133"/>
      <c r="C53" s="134"/>
    </row>
    <row r="54" spans="1:3" ht="14.4" customHeight="1" x14ac:dyDescent="0.3">
      <c r="A54" s="115" t="s">
        <v>170</v>
      </c>
      <c r="B54" s="133"/>
      <c r="C54" s="134"/>
    </row>
    <row r="55" spans="1:3" x14ac:dyDescent="0.3">
      <c r="A55" s="115" t="s">
        <v>171</v>
      </c>
      <c r="B55" s="133"/>
      <c r="C55" s="134"/>
    </row>
    <row r="56" spans="1:3" x14ac:dyDescent="0.3">
      <c r="B56" s="133">
        <f>SUM(B36:B55)</f>
        <v>0</v>
      </c>
      <c r="C56" s="133">
        <f>SUM(C36:C55)</f>
        <v>0</v>
      </c>
    </row>
  </sheetData>
  <mergeCells count="2">
    <mergeCell ref="E1:H1"/>
    <mergeCell ref="A1:D1"/>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heetView workbookViewId="1"/>
  </sheetViews>
  <sheetFormatPr defaultRowHeight="14.4" x14ac:dyDescent="0.3"/>
  <cols>
    <col min="1" max="6" width="16.33203125" customWidth="1"/>
    <col min="9" max="9" width="22" customWidth="1"/>
    <col min="10" max="10" width="32.6640625" customWidth="1"/>
  </cols>
  <sheetData>
    <row r="1" spans="1:10" x14ac:dyDescent="0.3">
      <c r="A1" s="35" t="s">
        <v>96</v>
      </c>
      <c r="B1" s="36"/>
      <c r="C1" s="36"/>
      <c r="D1" s="36"/>
      <c r="E1" s="36"/>
      <c r="F1" s="36"/>
    </row>
    <row r="2" spans="1:10" ht="36.75" customHeight="1" x14ac:dyDescent="0.3">
      <c r="A2" s="37" t="s">
        <v>97</v>
      </c>
      <c r="B2" s="38" t="s">
        <v>98</v>
      </c>
      <c r="C2" s="38" t="s">
        <v>99</v>
      </c>
      <c r="D2" s="38" t="s">
        <v>100</v>
      </c>
      <c r="E2" s="38" t="s">
        <v>101</v>
      </c>
      <c r="F2" s="38" t="s">
        <v>102</v>
      </c>
      <c r="I2" s="48" t="s">
        <v>116</v>
      </c>
      <c r="J2" s="17" t="s">
        <v>178</v>
      </c>
    </row>
    <row r="3" spans="1:10" x14ac:dyDescent="0.3">
      <c r="A3" s="39" t="s">
        <v>59</v>
      </c>
      <c r="B3" s="40" t="s">
        <v>103</v>
      </c>
      <c r="C3" s="40" t="s">
        <v>103</v>
      </c>
      <c r="D3" s="40" t="s">
        <v>103</v>
      </c>
      <c r="E3" s="40" t="s">
        <v>103</v>
      </c>
      <c r="F3" s="40" t="s">
        <v>103</v>
      </c>
    </row>
    <row r="4" spans="1:10" ht="27.6" x14ac:dyDescent="0.3">
      <c r="A4" s="41" t="s">
        <v>104</v>
      </c>
      <c r="B4" s="42">
        <v>2068762</v>
      </c>
      <c r="C4" s="42">
        <v>2107457</v>
      </c>
      <c r="D4" s="42">
        <v>2125149</v>
      </c>
      <c r="E4" s="42">
        <v>2177668</v>
      </c>
      <c r="F4" s="42">
        <v>2231538</v>
      </c>
      <c r="I4" s="43">
        <f>AVERAGE(B4:F4)</f>
        <v>2142114.7999999998</v>
      </c>
      <c r="J4" s="34">
        <f>I4/I14</f>
        <v>0.69707739767292753</v>
      </c>
    </row>
    <row r="5" spans="1:10" ht="27.6" x14ac:dyDescent="0.3">
      <c r="A5" s="41" t="s">
        <v>105</v>
      </c>
      <c r="B5" s="42">
        <v>139048</v>
      </c>
      <c r="C5" s="42">
        <v>143219</v>
      </c>
      <c r="D5" s="42">
        <v>147516</v>
      </c>
      <c r="E5" s="42">
        <v>151941</v>
      </c>
      <c r="F5" s="42">
        <v>156500</v>
      </c>
    </row>
    <row r="6" spans="1:10" x14ac:dyDescent="0.3">
      <c r="A6" s="41" t="s">
        <v>106</v>
      </c>
      <c r="B6" s="42">
        <v>527392</v>
      </c>
      <c r="C6" s="42">
        <v>546927</v>
      </c>
      <c r="D6" s="42">
        <v>555143</v>
      </c>
      <c r="E6" s="42">
        <v>582900</v>
      </c>
      <c r="F6" s="42">
        <v>612045</v>
      </c>
      <c r="I6" s="43">
        <f>AVERAGE(B6:F6)</f>
        <v>564881.4</v>
      </c>
      <c r="J6" s="34">
        <f>I6/I14</f>
        <v>0.18382117349912341</v>
      </c>
    </row>
    <row r="7" spans="1:10" x14ac:dyDescent="0.3">
      <c r="A7" s="41" t="s">
        <v>107</v>
      </c>
      <c r="B7" s="42">
        <v>28977</v>
      </c>
      <c r="C7" s="42">
        <v>29581</v>
      </c>
      <c r="D7" s="42">
        <v>30202</v>
      </c>
      <c r="E7" s="42">
        <v>30840</v>
      </c>
      <c r="F7" s="42">
        <v>31495</v>
      </c>
    </row>
    <row r="8" spans="1:10" ht="27.6" x14ac:dyDescent="0.3">
      <c r="A8" s="41" t="s">
        <v>108</v>
      </c>
      <c r="B8" s="42">
        <v>6695</v>
      </c>
      <c r="C8" s="42">
        <v>6896</v>
      </c>
      <c r="D8" s="42">
        <v>7103</v>
      </c>
      <c r="E8" s="42">
        <v>7316</v>
      </c>
      <c r="F8" s="42">
        <v>7535</v>
      </c>
    </row>
    <row r="9" spans="1:10" ht="27.6" x14ac:dyDescent="0.3">
      <c r="A9" s="41" t="s">
        <v>109</v>
      </c>
      <c r="B9" s="42">
        <v>68000</v>
      </c>
      <c r="C9" s="42">
        <v>70040</v>
      </c>
      <c r="D9" s="42">
        <v>72141</v>
      </c>
      <c r="E9" s="42">
        <v>74305</v>
      </c>
      <c r="F9" s="42">
        <v>76535</v>
      </c>
    </row>
    <row r="10" spans="1:10" x14ac:dyDescent="0.3">
      <c r="A10" s="41" t="s">
        <v>110</v>
      </c>
      <c r="B10" s="42">
        <v>18025</v>
      </c>
      <c r="C10" s="42">
        <v>18566</v>
      </c>
      <c r="D10" s="42">
        <v>19123</v>
      </c>
      <c r="E10" s="42">
        <v>19696</v>
      </c>
      <c r="F10" s="42">
        <v>20287</v>
      </c>
    </row>
    <row r="11" spans="1:10" ht="27.6" x14ac:dyDescent="0.3">
      <c r="A11" s="41" t="s">
        <v>111</v>
      </c>
      <c r="B11" s="42">
        <v>7210</v>
      </c>
      <c r="C11" s="42">
        <v>7426</v>
      </c>
      <c r="D11" s="42">
        <v>7649</v>
      </c>
      <c r="E11" s="42">
        <v>7879</v>
      </c>
      <c r="F11" s="42">
        <v>8115</v>
      </c>
    </row>
    <row r="12" spans="1:10" x14ac:dyDescent="0.3">
      <c r="A12" s="41" t="s">
        <v>112</v>
      </c>
      <c r="B12" s="42">
        <v>61800</v>
      </c>
      <c r="C12" s="42">
        <v>63654</v>
      </c>
      <c r="D12" s="42">
        <v>65564</v>
      </c>
      <c r="E12" s="42">
        <v>67531</v>
      </c>
      <c r="F12" s="42">
        <v>69556</v>
      </c>
    </row>
    <row r="13" spans="1:10" ht="28.2" thickBot="1" x14ac:dyDescent="0.35">
      <c r="A13" s="41" t="s">
        <v>113</v>
      </c>
      <c r="B13" s="42">
        <v>15450</v>
      </c>
      <c r="C13" s="42">
        <v>15914</v>
      </c>
      <c r="D13" s="42">
        <v>16391</v>
      </c>
      <c r="E13" s="42">
        <v>16883</v>
      </c>
      <c r="F13" s="42">
        <v>17389</v>
      </c>
      <c r="I13" s="135"/>
      <c r="J13" s="135"/>
    </row>
    <row r="14" spans="1:10" x14ac:dyDescent="0.3">
      <c r="A14" s="44" t="s">
        <v>35</v>
      </c>
      <c r="B14" s="45">
        <v>2941359</v>
      </c>
      <c r="C14" s="45">
        <v>3009680</v>
      </c>
      <c r="D14" s="45">
        <v>3045980</v>
      </c>
      <c r="E14" s="45">
        <v>3136958</v>
      </c>
      <c r="F14" s="45">
        <v>3230994</v>
      </c>
      <c r="I14" s="46">
        <f>AVERAGE(B14:F14)</f>
        <v>3072994.2</v>
      </c>
      <c r="J14">
        <f>J4+J6</f>
        <v>0.88089857117205095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4"/>
  <sheetViews>
    <sheetView topLeftCell="C1" workbookViewId="0">
      <selection activeCell="R23" sqref="R23"/>
    </sheetView>
    <sheetView workbookViewId="1">
      <selection sqref="A1:K1"/>
    </sheetView>
  </sheetViews>
  <sheetFormatPr defaultRowHeight="14.4" x14ac:dyDescent="0.3"/>
  <cols>
    <col min="1" max="1" width="34.33203125" customWidth="1"/>
    <col min="2" max="2" width="18.33203125" customWidth="1"/>
    <col min="3" max="3" width="19.33203125" style="57" customWidth="1"/>
    <col min="4" max="4" width="13.5546875" customWidth="1"/>
    <col min="5" max="18" width="11.6640625" customWidth="1"/>
  </cols>
  <sheetData>
    <row r="1" spans="1:18" s="18" customFormat="1" ht="18" x14ac:dyDescent="0.35">
      <c r="A1" s="446" t="s">
        <v>150</v>
      </c>
      <c r="B1" s="446"/>
      <c r="C1" s="446"/>
      <c r="D1" s="446"/>
      <c r="E1" s="446"/>
      <c r="F1" s="446"/>
      <c r="G1" s="446"/>
      <c r="H1" s="446"/>
      <c r="I1" s="446"/>
      <c r="J1" s="446"/>
      <c r="K1" s="446"/>
      <c r="L1" s="19"/>
    </row>
    <row r="3" spans="1:18" s="28" customFormat="1" ht="28.8" x14ac:dyDescent="0.3">
      <c r="B3" s="28" t="s">
        <v>378</v>
      </c>
      <c r="C3" s="60" t="s">
        <v>133</v>
      </c>
      <c r="E3" s="28">
        <v>0.08</v>
      </c>
      <c r="F3" s="28">
        <v>0.06</v>
      </c>
      <c r="G3" s="28">
        <v>0.05</v>
      </c>
      <c r="H3" s="28">
        <v>0.05</v>
      </c>
      <c r="I3" s="28">
        <v>0.05</v>
      </c>
      <c r="J3" s="28">
        <v>0.05</v>
      </c>
      <c r="K3" s="28">
        <v>0.05</v>
      </c>
      <c r="L3" s="28">
        <v>0.05</v>
      </c>
      <c r="M3" s="28">
        <v>0.05</v>
      </c>
      <c r="N3" s="28">
        <v>0.05</v>
      </c>
      <c r="O3" s="28">
        <v>0.05</v>
      </c>
      <c r="P3" s="28">
        <v>0.05</v>
      </c>
      <c r="Q3" s="28">
        <v>0.05</v>
      </c>
      <c r="R3" s="28">
        <v>0.05</v>
      </c>
    </row>
    <row r="4" spans="1:18" s="7" customFormat="1" x14ac:dyDescent="0.3">
      <c r="D4" s="7" t="s">
        <v>118</v>
      </c>
      <c r="E4" s="7" t="s">
        <v>119</v>
      </c>
      <c r="F4" s="7" t="s">
        <v>120</v>
      </c>
      <c r="G4" s="7" t="s">
        <v>121</v>
      </c>
      <c r="H4" s="7" t="s">
        <v>122</v>
      </c>
      <c r="I4" s="7" t="s">
        <v>123</v>
      </c>
      <c r="J4" s="7" t="s">
        <v>124</v>
      </c>
      <c r="K4" s="7" t="s">
        <v>125</v>
      </c>
      <c r="L4" s="7" t="s">
        <v>126</v>
      </c>
      <c r="M4" s="7" t="s">
        <v>127</v>
      </c>
      <c r="N4" s="7" t="s">
        <v>128</v>
      </c>
      <c r="O4" s="7" t="s">
        <v>129</v>
      </c>
      <c r="P4" s="7" t="s">
        <v>130</v>
      </c>
      <c r="Q4" s="7" t="s">
        <v>131</v>
      </c>
      <c r="R4" s="7" t="s">
        <v>132</v>
      </c>
    </row>
    <row r="5" spans="1:18" x14ac:dyDescent="0.3">
      <c r="A5" t="s">
        <v>373</v>
      </c>
      <c r="B5" s="320">
        <v>29167</v>
      </c>
      <c r="C5" s="320">
        <v>31218</v>
      </c>
      <c r="D5" s="58">
        <f>C5 +(C5*$D$3)</f>
        <v>31218</v>
      </c>
      <c r="E5" s="58">
        <f>D5 +(D5*$E$3)</f>
        <v>33715.440000000002</v>
      </c>
      <c r="F5" s="58">
        <f t="shared" ref="F5:R5" si="0">E5 +(E5*F3)</f>
        <v>35738.366399999999</v>
      </c>
      <c r="G5" s="58">
        <f t="shared" si="0"/>
        <v>37525.284719999996</v>
      </c>
      <c r="H5" s="58">
        <f t="shared" si="0"/>
        <v>39401.548955999999</v>
      </c>
      <c r="I5" s="58">
        <f t="shared" si="0"/>
        <v>41371.626403800001</v>
      </c>
      <c r="J5" s="58">
        <f t="shared" si="0"/>
        <v>43440.207723990003</v>
      </c>
      <c r="K5" s="58">
        <f t="shared" si="0"/>
        <v>45612.218110189504</v>
      </c>
      <c r="L5" s="58">
        <f t="shared" si="0"/>
        <v>47892.829015698982</v>
      </c>
      <c r="M5" s="58">
        <f t="shared" si="0"/>
        <v>50287.47046648393</v>
      </c>
      <c r="N5" s="58">
        <f t="shared" si="0"/>
        <v>52801.843989808127</v>
      </c>
      <c r="O5" s="58">
        <f t="shared" si="0"/>
        <v>55441.936189298533</v>
      </c>
      <c r="P5" s="58">
        <f t="shared" si="0"/>
        <v>58214.032998763461</v>
      </c>
      <c r="Q5" s="58">
        <f t="shared" si="0"/>
        <v>61124.734648701633</v>
      </c>
      <c r="R5" s="58">
        <f t="shared" si="0"/>
        <v>64180.971381136711</v>
      </c>
    </row>
    <row r="6" spans="1:18" x14ac:dyDescent="0.3">
      <c r="A6" t="s">
        <v>374</v>
      </c>
      <c r="B6" s="320">
        <v>58112</v>
      </c>
      <c r="C6" s="320">
        <v>760</v>
      </c>
      <c r="D6" s="58">
        <f t="shared" ref="D6:D9" si="1">C6 +(C6*$D$3)</f>
        <v>760</v>
      </c>
      <c r="E6" s="58">
        <f t="shared" ref="E6:R9" si="2">D6 +(D6*$E$3)</f>
        <v>820.8</v>
      </c>
      <c r="F6" s="58">
        <f t="shared" si="2"/>
        <v>886.46399999999994</v>
      </c>
      <c r="G6" s="58">
        <f t="shared" si="2"/>
        <v>957.3811199999999</v>
      </c>
      <c r="H6" s="58">
        <f t="shared" si="2"/>
        <v>1033.9716096</v>
      </c>
      <c r="I6" s="58">
        <f t="shared" si="2"/>
        <v>1116.6893383679999</v>
      </c>
      <c r="J6" s="58">
        <f t="shared" si="2"/>
        <v>1206.0244854374398</v>
      </c>
      <c r="K6" s="58">
        <f t="shared" si="2"/>
        <v>1302.5064442724349</v>
      </c>
      <c r="L6" s="58">
        <f t="shared" si="2"/>
        <v>1406.7069598142298</v>
      </c>
      <c r="M6" s="58">
        <f t="shared" si="2"/>
        <v>1519.2435165993681</v>
      </c>
      <c r="N6" s="58">
        <f t="shared" si="2"/>
        <v>1640.7829979273176</v>
      </c>
      <c r="O6" s="58">
        <f t="shared" si="2"/>
        <v>1772.045637761503</v>
      </c>
      <c r="P6" s="58">
        <f t="shared" si="2"/>
        <v>1913.8092887824232</v>
      </c>
      <c r="Q6" s="58">
        <f t="shared" si="2"/>
        <v>2066.9140318850173</v>
      </c>
      <c r="R6" s="58">
        <f t="shared" si="2"/>
        <v>2232.2671544358186</v>
      </c>
    </row>
    <row r="7" spans="1:18" x14ac:dyDescent="0.3">
      <c r="A7" t="s">
        <v>375</v>
      </c>
      <c r="B7" s="320">
        <v>31605</v>
      </c>
      <c r="C7" s="320">
        <v>125</v>
      </c>
      <c r="D7" s="58">
        <f t="shared" si="1"/>
        <v>125</v>
      </c>
      <c r="E7" s="58">
        <f t="shared" si="2"/>
        <v>135</v>
      </c>
      <c r="F7" s="58">
        <f t="shared" si="2"/>
        <v>145.80000000000001</v>
      </c>
      <c r="G7" s="58">
        <f t="shared" si="2"/>
        <v>157.464</v>
      </c>
      <c r="H7" s="58">
        <f t="shared" si="2"/>
        <v>170.06111999999999</v>
      </c>
      <c r="I7" s="58">
        <f t="shared" si="2"/>
        <v>183.6660096</v>
      </c>
      <c r="J7" s="58">
        <f t="shared" si="2"/>
        <v>198.35929036799999</v>
      </c>
      <c r="K7" s="58">
        <f t="shared" si="2"/>
        <v>214.22803359744</v>
      </c>
      <c r="L7" s="58">
        <f t="shared" si="2"/>
        <v>231.36627628523522</v>
      </c>
      <c r="M7" s="58">
        <f t="shared" si="2"/>
        <v>249.87557838805404</v>
      </c>
      <c r="N7" s="58">
        <f t="shared" si="2"/>
        <v>269.86562465909839</v>
      </c>
      <c r="O7" s="58">
        <f t="shared" si="2"/>
        <v>291.45487463182627</v>
      </c>
      <c r="P7" s="58">
        <f t="shared" si="2"/>
        <v>314.77126460237236</v>
      </c>
      <c r="Q7" s="58">
        <f t="shared" si="2"/>
        <v>339.95296577056217</v>
      </c>
      <c r="R7" s="58">
        <f t="shared" si="2"/>
        <v>367.14920303220714</v>
      </c>
    </row>
    <row r="8" spans="1:18" x14ac:dyDescent="0.3">
      <c r="A8" t="s">
        <v>376</v>
      </c>
      <c r="B8" s="320">
        <v>50669.59758148637</v>
      </c>
      <c r="C8" s="320">
        <v>27288</v>
      </c>
      <c r="D8" s="58">
        <f t="shared" si="1"/>
        <v>27288</v>
      </c>
      <c r="E8" s="58">
        <f t="shared" si="2"/>
        <v>29471.040000000001</v>
      </c>
      <c r="F8" s="58">
        <f t="shared" si="2"/>
        <v>31828.7232</v>
      </c>
      <c r="G8" s="58">
        <f t="shared" si="2"/>
        <v>34375.021055999998</v>
      </c>
      <c r="H8" s="58">
        <f t="shared" si="2"/>
        <v>37125.022740479995</v>
      </c>
      <c r="I8" s="58">
        <f t="shared" si="2"/>
        <v>40095.024559718397</v>
      </c>
      <c r="J8" s="58">
        <f t="shared" si="2"/>
        <v>43302.62652449587</v>
      </c>
      <c r="K8" s="58">
        <f t="shared" si="2"/>
        <v>46766.836646455544</v>
      </c>
      <c r="L8" s="58">
        <f t="shared" si="2"/>
        <v>50508.183578171986</v>
      </c>
      <c r="M8" s="58">
        <f t="shared" si="2"/>
        <v>54548.838264425744</v>
      </c>
      <c r="N8" s="58">
        <f t="shared" si="2"/>
        <v>58912.745325579803</v>
      </c>
      <c r="O8" s="58">
        <f t="shared" si="2"/>
        <v>63625.764951626188</v>
      </c>
      <c r="P8" s="58">
        <f t="shared" si="2"/>
        <v>68715.826147756277</v>
      </c>
      <c r="Q8" s="58">
        <f t="shared" si="2"/>
        <v>74213.092239576785</v>
      </c>
      <c r="R8" s="58">
        <f t="shared" si="2"/>
        <v>80150.13961874292</v>
      </c>
    </row>
    <row r="9" spans="1:18" s="139" customFormat="1" x14ac:dyDescent="0.3">
      <c r="A9" s="139" t="s">
        <v>377</v>
      </c>
      <c r="B9" s="357">
        <v>71342.821935712593</v>
      </c>
      <c r="C9" s="357">
        <v>167</v>
      </c>
      <c r="D9" s="358">
        <f t="shared" si="1"/>
        <v>167</v>
      </c>
      <c r="E9" s="358">
        <f t="shared" si="2"/>
        <v>180.36</v>
      </c>
      <c r="F9" s="358">
        <f t="shared" si="2"/>
        <v>194.78880000000001</v>
      </c>
      <c r="G9" s="358">
        <f t="shared" si="2"/>
        <v>210.371904</v>
      </c>
      <c r="H9" s="358">
        <f t="shared" si="2"/>
        <v>227.20165632000001</v>
      </c>
      <c r="I9" s="358">
        <f t="shared" si="2"/>
        <v>245.37778882560002</v>
      </c>
      <c r="J9" s="358">
        <f t="shared" si="2"/>
        <v>265.00801193164801</v>
      </c>
      <c r="K9" s="358">
        <f t="shared" si="2"/>
        <v>286.20865288617983</v>
      </c>
      <c r="L9" s="358">
        <f t="shared" si="2"/>
        <v>309.10534511707419</v>
      </c>
      <c r="M9" s="358">
        <f t="shared" si="2"/>
        <v>333.83377272644015</v>
      </c>
      <c r="N9" s="358">
        <f t="shared" si="2"/>
        <v>360.54047454455537</v>
      </c>
      <c r="O9" s="358">
        <f t="shared" si="2"/>
        <v>389.3837125081198</v>
      </c>
      <c r="P9" s="358">
        <f t="shared" si="2"/>
        <v>420.53440950876939</v>
      </c>
      <c r="Q9" s="358">
        <f t="shared" si="2"/>
        <v>454.17716226947095</v>
      </c>
      <c r="R9" s="358">
        <f t="shared" si="2"/>
        <v>490.51133525102864</v>
      </c>
    </row>
    <row r="10" spans="1:18" s="139" customFormat="1" x14ac:dyDescent="0.3">
      <c r="C10" s="357">
        <f>SUM(C5:C9)</f>
        <v>59558</v>
      </c>
      <c r="D10" s="357">
        <f t="shared" ref="D10:R10" si="3">SUM(D5:D9)</f>
        <v>59558</v>
      </c>
      <c r="E10" s="357">
        <f t="shared" si="3"/>
        <v>64322.640000000007</v>
      </c>
      <c r="F10" s="357">
        <f t="shared" si="3"/>
        <v>68794.142399999997</v>
      </c>
      <c r="G10" s="357">
        <f t="shared" si="3"/>
        <v>73225.522799999992</v>
      </c>
      <c r="H10" s="357">
        <f t="shared" si="3"/>
        <v>77957.806082399984</v>
      </c>
      <c r="I10" s="357">
        <f t="shared" si="3"/>
        <v>83012.384100311989</v>
      </c>
      <c r="J10" s="357">
        <f t="shared" si="3"/>
        <v>88412.226036222943</v>
      </c>
      <c r="K10" s="357">
        <f t="shared" si="3"/>
        <v>94181.997887401114</v>
      </c>
      <c r="L10" s="357">
        <f t="shared" si="3"/>
        <v>100348.1911750875</v>
      </c>
      <c r="M10" s="357">
        <f t="shared" si="3"/>
        <v>106939.26159862353</v>
      </c>
      <c r="N10" s="357">
        <f t="shared" si="3"/>
        <v>113985.77841251889</v>
      </c>
      <c r="O10" s="357">
        <f t="shared" si="3"/>
        <v>121520.58536582616</v>
      </c>
      <c r="P10" s="357">
        <f t="shared" si="3"/>
        <v>129578.97410941329</v>
      </c>
      <c r="Q10" s="357">
        <f t="shared" si="3"/>
        <v>138198.87104820349</v>
      </c>
      <c r="R10" s="357">
        <f t="shared" si="3"/>
        <v>147421.0386925987</v>
      </c>
    </row>
    <row r="11" spans="1:18" s="338" customFormat="1" ht="15.6" x14ac:dyDescent="0.3">
      <c r="C11" s="360" t="s">
        <v>139</v>
      </c>
      <c r="D11" s="361">
        <v>5</v>
      </c>
    </row>
    <row r="12" spans="1:18" s="338" customFormat="1" x14ac:dyDescent="0.3">
      <c r="C12" s="362" t="s">
        <v>140</v>
      </c>
    </row>
    <row r="13" spans="1:18" s="338" customFormat="1" x14ac:dyDescent="0.3">
      <c r="A13" s="139" t="s">
        <v>373</v>
      </c>
      <c r="B13" s="139"/>
      <c r="C13" s="362"/>
      <c r="D13" s="338">
        <f>D5*$D$11</f>
        <v>156090</v>
      </c>
      <c r="E13" s="338">
        <f t="shared" ref="E13:R13" si="4">E5*$D$11</f>
        <v>168577.2</v>
      </c>
      <c r="F13" s="338">
        <f t="shared" si="4"/>
        <v>178691.83199999999</v>
      </c>
      <c r="G13" s="338">
        <f t="shared" si="4"/>
        <v>187626.42359999998</v>
      </c>
      <c r="H13" s="338">
        <f t="shared" si="4"/>
        <v>197007.74478000001</v>
      </c>
      <c r="I13" s="338">
        <f t="shared" si="4"/>
        <v>206858.13201900001</v>
      </c>
      <c r="J13" s="338">
        <f t="shared" si="4"/>
        <v>217201.03861995001</v>
      </c>
      <c r="K13" s="338">
        <f t="shared" si="4"/>
        <v>228061.09055094753</v>
      </c>
      <c r="L13" s="338">
        <f t="shared" si="4"/>
        <v>239464.14507849491</v>
      </c>
      <c r="M13" s="338">
        <f t="shared" si="4"/>
        <v>251437.35233241966</v>
      </c>
      <c r="N13" s="338">
        <f t="shared" si="4"/>
        <v>264009.21994904062</v>
      </c>
      <c r="O13" s="338">
        <f t="shared" si="4"/>
        <v>277209.68094649265</v>
      </c>
      <c r="P13" s="338">
        <f t="shared" si="4"/>
        <v>291070.16499381734</v>
      </c>
      <c r="Q13" s="338">
        <f t="shared" si="4"/>
        <v>305623.67324350815</v>
      </c>
      <c r="R13" s="338">
        <f t="shared" si="4"/>
        <v>320904.85690568353</v>
      </c>
    </row>
    <row r="14" spans="1:18" s="338" customFormat="1" x14ac:dyDescent="0.3">
      <c r="A14" s="139" t="s">
        <v>374</v>
      </c>
      <c r="B14" s="139"/>
      <c r="C14" s="362"/>
      <c r="D14" s="338">
        <f t="shared" ref="D14:R17" si="5">D6*$D$11</f>
        <v>3800</v>
      </c>
      <c r="E14" s="338">
        <f t="shared" si="5"/>
        <v>4104</v>
      </c>
      <c r="F14" s="338">
        <f t="shared" si="5"/>
        <v>4432.32</v>
      </c>
      <c r="G14" s="338">
        <f t="shared" si="5"/>
        <v>4786.9055999999991</v>
      </c>
      <c r="H14" s="338">
        <f t="shared" si="5"/>
        <v>5169.8580480000001</v>
      </c>
      <c r="I14" s="338">
        <f t="shared" si="5"/>
        <v>5583.4466918399994</v>
      </c>
      <c r="J14" s="338">
        <f t="shared" si="5"/>
        <v>6030.1224271871988</v>
      </c>
      <c r="K14" s="338">
        <f t="shared" si="5"/>
        <v>6512.5322213621748</v>
      </c>
      <c r="L14" s="338">
        <f t="shared" si="5"/>
        <v>7033.5347990711489</v>
      </c>
      <c r="M14" s="338">
        <f t="shared" si="5"/>
        <v>7596.217582996841</v>
      </c>
      <c r="N14" s="338">
        <f t="shared" si="5"/>
        <v>8203.9149896365889</v>
      </c>
      <c r="O14" s="338">
        <f t="shared" si="5"/>
        <v>8860.2281888075158</v>
      </c>
      <c r="P14" s="338">
        <f t="shared" si="5"/>
        <v>9569.046443912117</v>
      </c>
      <c r="Q14" s="338">
        <f t="shared" si="5"/>
        <v>10334.570159425086</v>
      </c>
      <c r="R14" s="338">
        <f t="shared" si="5"/>
        <v>11161.335772179093</v>
      </c>
    </row>
    <row r="15" spans="1:18" s="338" customFormat="1" x14ac:dyDescent="0.3">
      <c r="A15" s="139" t="s">
        <v>375</v>
      </c>
      <c r="B15" s="139"/>
      <c r="C15" s="362"/>
      <c r="D15" s="338">
        <f t="shared" si="5"/>
        <v>625</v>
      </c>
      <c r="E15" s="338">
        <f t="shared" si="5"/>
        <v>675</v>
      </c>
      <c r="F15" s="338">
        <f t="shared" si="5"/>
        <v>729</v>
      </c>
      <c r="G15" s="338">
        <f t="shared" si="5"/>
        <v>787.31999999999994</v>
      </c>
      <c r="H15" s="338">
        <f t="shared" si="5"/>
        <v>850.30559999999991</v>
      </c>
      <c r="I15" s="338">
        <f t="shared" si="5"/>
        <v>918.33004800000003</v>
      </c>
      <c r="J15" s="338">
        <f t="shared" si="5"/>
        <v>991.79645183999992</v>
      </c>
      <c r="K15" s="338">
        <f t="shared" si="5"/>
        <v>1071.1401679872001</v>
      </c>
      <c r="L15" s="338">
        <f t="shared" si="5"/>
        <v>1156.831381426176</v>
      </c>
      <c r="M15" s="338">
        <f t="shared" si="5"/>
        <v>1249.3778919402703</v>
      </c>
      <c r="N15" s="338">
        <f t="shared" si="5"/>
        <v>1349.3281232954919</v>
      </c>
      <c r="O15" s="338">
        <f t="shared" si="5"/>
        <v>1457.2743731591313</v>
      </c>
      <c r="P15" s="338">
        <f t="shared" si="5"/>
        <v>1573.8563230118618</v>
      </c>
      <c r="Q15" s="338">
        <f t="shared" si="5"/>
        <v>1699.7648288528108</v>
      </c>
      <c r="R15" s="338">
        <f t="shared" si="5"/>
        <v>1835.7460151610358</v>
      </c>
    </row>
    <row r="16" spans="1:18" s="338" customFormat="1" x14ac:dyDescent="0.3">
      <c r="A16" s="139" t="s">
        <v>376</v>
      </c>
      <c r="B16" s="139"/>
      <c r="C16" s="362"/>
      <c r="D16" s="338">
        <f t="shared" si="5"/>
        <v>136440</v>
      </c>
      <c r="E16" s="338">
        <f t="shared" si="5"/>
        <v>147355.20000000001</v>
      </c>
      <c r="F16" s="338">
        <f t="shared" si="5"/>
        <v>159143.61600000001</v>
      </c>
      <c r="G16" s="338">
        <f t="shared" si="5"/>
        <v>171875.10527999999</v>
      </c>
      <c r="H16" s="338">
        <f t="shared" si="5"/>
        <v>185625.11370239998</v>
      </c>
      <c r="I16" s="338">
        <f t="shared" si="5"/>
        <v>200475.12279859197</v>
      </c>
      <c r="J16" s="338">
        <f t="shared" si="5"/>
        <v>216513.13262247934</v>
      </c>
      <c r="K16" s="338">
        <f t="shared" si="5"/>
        <v>233834.18323227772</v>
      </c>
      <c r="L16" s="338">
        <f t="shared" si="5"/>
        <v>252540.91789085994</v>
      </c>
      <c r="M16" s="338">
        <f t="shared" si="5"/>
        <v>272744.1913221287</v>
      </c>
      <c r="N16" s="338">
        <f t="shared" si="5"/>
        <v>294563.72662789898</v>
      </c>
      <c r="O16" s="338">
        <f t="shared" si="5"/>
        <v>318128.82475813094</v>
      </c>
      <c r="P16" s="338">
        <f t="shared" si="5"/>
        <v>343579.13073878142</v>
      </c>
      <c r="Q16" s="338">
        <f t="shared" si="5"/>
        <v>371065.46119788394</v>
      </c>
      <c r="R16" s="338">
        <f t="shared" si="5"/>
        <v>400750.6980937146</v>
      </c>
    </row>
    <row r="17" spans="1:18" s="338" customFormat="1" x14ac:dyDescent="0.3">
      <c r="A17" s="139" t="s">
        <v>377</v>
      </c>
      <c r="B17" s="139"/>
      <c r="C17" s="362"/>
      <c r="D17" s="338">
        <f t="shared" si="5"/>
        <v>835</v>
      </c>
      <c r="E17" s="338">
        <f t="shared" si="5"/>
        <v>901.80000000000007</v>
      </c>
      <c r="F17" s="338">
        <f t="shared" si="5"/>
        <v>973.94400000000007</v>
      </c>
      <c r="G17" s="338">
        <f t="shared" si="5"/>
        <v>1051.85952</v>
      </c>
      <c r="H17" s="338">
        <f t="shared" si="5"/>
        <v>1136.0082816000001</v>
      </c>
      <c r="I17" s="338">
        <f t="shared" si="5"/>
        <v>1226.888944128</v>
      </c>
      <c r="J17" s="338">
        <f t="shared" si="5"/>
        <v>1325.0400596582401</v>
      </c>
      <c r="K17" s="338">
        <f t="shared" si="5"/>
        <v>1431.0432644308992</v>
      </c>
      <c r="L17" s="338">
        <f t="shared" si="5"/>
        <v>1545.526725585371</v>
      </c>
      <c r="M17" s="338">
        <f t="shared" si="5"/>
        <v>1669.1688636322008</v>
      </c>
      <c r="N17" s="338">
        <f t="shared" si="5"/>
        <v>1802.7023727227768</v>
      </c>
      <c r="O17" s="338">
        <f t="shared" si="5"/>
        <v>1946.9185625405989</v>
      </c>
      <c r="P17" s="338">
        <f t="shared" si="5"/>
        <v>2102.6720475438469</v>
      </c>
      <c r="Q17" s="338">
        <f t="shared" si="5"/>
        <v>2270.8858113473548</v>
      </c>
      <c r="R17" s="338">
        <f t="shared" si="5"/>
        <v>2452.5566762551434</v>
      </c>
    </row>
    <row r="18" spans="1:18" s="139" customFormat="1" x14ac:dyDescent="0.3">
      <c r="C18" s="359"/>
      <c r="D18" s="369">
        <v>5</v>
      </c>
    </row>
    <row r="19" spans="1:18" s="139" customFormat="1" x14ac:dyDescent="0.3">
      <c r="C19" s="359"/>
      <c r="D19" s="369"/>
    </row>
    <row r="20" spans="1:18" s="338" customFormat="1" ht="15.6" x14ac:dyDescent="0.3">
      <c r="C20" s="360" t="s">
        <v>139</v>
      </c>
      <c r="D20" s="361">
        <v>20</v>
      </c>
    </row>
    <row r="21" spans="1:18" s="338" customFormat="1" x14ac:dyDescent="0.3">
      <c r="C21" s="362" t="s">
        <v>140</v>
      </c>
    </row>
    <row r="22" spans="1:18" s="338" customFormat="1" x14ac:dyDescent="0.3">
      <c r="A22" s="139" t="s">
        <v>373</v>
      </c>
      <c r="B22" s="139"/>
      <c r="C22" s="362"/>
      <c r="D22" s="338">
        <f t="shared" ref="D22:R22" si="6">D5*$D$20</f>
        <v>624360</v>
      </c>
      <c r="E22" s="338">
        <f t="shared" si="6"/>
        <v>674308.8</v>
      </c>
      <c r="F22" s="338">
        <f t="shared" si="6"/>
        <v>714767.32799999998</v>
      </c>
      <c r="G22" s="338">
        <f t="shared" si="6"/>
        <v>750505.69439999992</v>
      </c>
      <c r="H22" s="338">
        <f t="shared" si="6"/>
        <v>788030.97912000003</v>
      </c>
      <c r="I22" s="338">
        <f t="shared" si="6"/>
        <v>827432.52807600005</v>
      </c>
      <c r="J22" s="338">
        <f t="shared" si="6"/>
        <v>868804.15447980003</v>
      </c>
      <c r="K22" s="338">
        <f t="shared" si="6"/>
        <v>912244.36220379011</v>
      </c>
      <c r="L22" s="338">
        <f t="shared" si="6"/>
        <v>957856.58031397965</v>
      </c>
      <c r="M22" s="338">
        <f t="shared" si="6"/>
        <v>1005749.4093296786</v>
      </c>
      <c r="N22" s="338">
        <f t="shared" si="6"/>
        <v>1056036.8797961625</v>
      </c>
      <c r="O22" s="338">
        <f t="shared" si="6"/>
        <v>1108838.7237859706</v>
      </c>
      <c r="P22" s="338">
        <f t="shared" si="6"/>
        <v>1164280.6599752693</v>
      </c>
      <c r="Q22" s="338">
        <f t="shared" si="6"/>
        <v>1222494.6929740326</v>
      </c>
      <c r="R22" s="338">
        <f t="shared" si="6"/>
        <v>1283619.4276227341</v>
      </c>
    </row>
    <row r="23" spans="1:18" s="338" customFormat="1" x14ac:dyDescent="0.3">
      <c r="A23" s="139" t="s">
        <v>374</v>
      </c>
      <c r="B23" s="139"/>
      <c r="C23" s="362"/>
      <c r="D23" s="338">
        <f t="shared" ref="D23:R23" si="7">D6*$D$20</f>
        <v>15200</v>
      </c>
      <c r="E23" s="338">
        <f t="shared" si="7"/>
        <v>16416</v>
      </c>
      <c r="F23" s="338">
        <f t="shared" si="7"/>
        <v>17729.28</v>
      </c>
      <c r="G23" s="338">
        <f t="shared" si="7"/>
        <v>19147.622399999997</v>
      </c>
      <c r="H23" s="338">
        <f t="shared" si="7"/>
        <v>20679.432192</v>
      </c>
      <c r="I23" s="338">
        <f t="shared" si="7"/>
        <v>22333.786767359998</v>
      </c>
      <c r="J23" s="338">
        <f t="shared" si="7"/>
        <v>24120.489708748795</v>
      </c>
      <c r="K23" s="338">
        <f t="shared" si="7"/>
        <v>26050.128885448699</v>
      </c>
      <c r="L23" s="338">
        <f t="shared" si="7"/>
        <v>28134.139196284596</v>
      </c>
      <c r="M23" s="338">
        <f t="shared" si="7"/>
        <v>30384.870331987364</v>
      </c>
      <c r="N23" s="338">
        <f t="shared" si="7"/>
        <v>32815.659958546355</v>
      </c>
      <c r="O23" s="338">
        <f t="shared" si="7"/>
        <v>35440.912755230063</v>
      </c>
      <c r="P23" s="338">
        <f t="shared" si="7"/>
        <v>38276.185775648468</v>
      </c>
      <c r="Q23" s="338">
        <f t="shared" si="7"/>
        <v>41338.280637700344</v>
      </c>
      <c r="R23" s="338">
        <f t="shared" si="7"/>
        <v>44645.34308871637</v>
      </c>
    </row>
    <row r="24" spans="1:18" s="338" customFormat="1" x14ac:dyDescent="0.3">
      <c r="A24" s="139" t="s">
        <v>375</v>
      </c>
      <c r="B24" s="139"/>
      <c r="C24" s="362"/>
      <c r="D24" s="338">
        <f t="shared" ref="D24:R24" si="8">D7*$D$20</f>
        <v>2500</v>
      </c>
      <c r="E24" s="338">
        <f t="shared" si="8"/>
        <v>2700</v>
      </c>
      <c r="F24" s="338">
        <f t="shared" si="8"/>
        <v>2916</v>
      </c>
      <c r="G24" s="338">
        <f t="shared" si="8"/>
        <v>3149.2799999999997</v>
      </c>
      <c r="H24" s="338">
        <f t="shared" si="8"/>
        <v>3401.2223999999997</v>
      </c>
      <c r="I24" s="338">
        <f t="shared" si="8"/>
        <v>3673.3201920000001</v>
      </c>
      <c r="J24" s="338">
        <f t="shared" si="8"/>
        <v>3967.1858073599997</v>
      </c>
      <c r="K24" s="338">
        <f t="shared" si="8"/>
        <v>4284.5606719488005</v>
      </c>
      <c r="L24" s="338">
        <f t="shared" si="8"/>
        <v>4627.325525704704</v>
      </c>
      <c r="M24" s="338">
        <f t="shared" si="8"/>
        <v>4997.5115677610811</v>
      </c>
      <c r="N24" s="338">
        <f t="shared" si="8"/>
        <v>5397.3124931819675</v>
      </c>
      <c r="O24" s="338">
        <f t="shared" si="8"/>
        <v>5829.0974926365252</v>
      </c>
      <c r="P24" s="338">
        <f t="shared" si="8"/>
        <v>6295.4252920474473</v>
      </c>
      <c r="Q24" s="338">
        <f t="shared" si="8"/>
        <v>6799.059315411243</v>
      </c>
      <c r="R24" s="338">
        <f t="shared" si="8"/>
        <v>7342.984060644143</v>
      </c>
    </row>
    <row r="25" spans="1:18" s="338" customFormat="1" x14ac:dyDescent="0.3">
      <c r="A25" s="139" t="s">
        <v>376</v>
      </c>
      <c r="B25" s="139"/>
      <c r="C25" s="362"/>
      <c r="D25" s="338">
        <f t="shared" ref="D25:R25" si="9">D8*$D$20</f>
        <v>545760</v>
      </c>
      <c r="E25" s="338">
        <f t="shared" si="9"/>
        <v>589420.80000000005</v>
      </c>
      <c r="F25" s="338">
        <f t="shared" si="9"/>
        <v>636574.46400000004</v>
      </c>
      <c r="G25" s="338">
        <f t="shared" si="9"/>
        <v>687500.42111999996</v>
      </c>
      <c r="H25" s="338">
        <f t="shared" si="9"/>
        <v>742500.45480959991</v>
      </c>
      <c r="I25" s="338">
        <f t="shared" si="9"/>
        <v>801900.49119436787</v>
      </c>
      <c r="J25" s="338">
        <f t="shared" si="9"/>
        <v>866052.53048991738</v>
      </c>
      <c r="K25" s="338">
        <f t="shared" si="9"/>
        <v>935336.73292911088</v>
      </c>
      <c r="L25" s="338">
        <f t="shared" si="9"/>
        <v>1010163.6715634398</v>
      </c>
      <c r="M25" s="338">
        <f t="shared" si="9"/>
        <v>1090976.7652885148</v>
      </c>
      <c r="N25" s="338">
        <f t="shared" si="9"/>
        <v>1178254.9065115959</v>
      </c>
      <c r="O25" s="338">
        <f t="shared" si="9"/>
        <v>1272515.2990325238</v>
      </c>
      <c r="P25" s="338">
        <f t="shared" si="9"/>
        <v>1374316.5229551257</v>
      </c>
      <c r="Q25" s="338">
        <f t="shared" si="9"/>
        <v>1484261.8447915358</v>
      </c>
      <c r="R25" s="338">
        <f t="shared" si="9"/>
        <v>1603002.7923748584</v>
      </c>
    </row>
    <row r="26" spans="1:18" s="338" customFormat="1" x14ac:dyDescent="0.3">
      <c r="A26" s="139" t="s">
        <v>377</v>
      </c>
      <c r="B26" s="139"/>
      <c r="C26" s="362"/>
      <c r="D26" s="338">
        <f t="shared" ref="D26:R26" si="10">D9*$D$20</f>
        <v>3340</v>
      </c>
      <c r="E26" s="338">
        <f t="shared" si="10"/>
        <v>3607.2000000000003</v>
      </c>
      <c r="F26" s="338">
        <f t="shared" si="10"/>
        <v>3895.7760000000003</v>
      </c>
      <c r="G26" s="338">
        <f t="shared" si="10"/>
        <v>4207.4380799999999</v>
      </c>
      <c r="H26" s="338">
        <f t="shared" si="10"/>
        <v>4544.0331264000006</v>
      </c>
      <c r="I26" s="338">
        <f t="shared" si="10"/>
        <v>4907.5557765120002</v>
      </c>
      <c r="J26" s="338">
        <f t="shared" si="10"/>
        <v>5300.1602386329605</v>
      </c>
      <c r="K26" s="338">
        <f t="shared" si="10"/>
        <v>5724.1730577235967</v>
      </c>
      <c r="L26" s="338">
        <f t="shared" si="10"/>
        <v>6182.1069023414839</v>
      </c>
      <c r="M26" s="338">
        <f t="shared" si="10"/>
        <v>6676.6754545288031</v>
      </c>
      <c r="N26" s="338">
        <f t="shared" si="10"/>
        <v>7210.8094908911071</v>
      </c>
      <c r="O26" s="338">
        <f t="shared" si="10"/>
        <v>7787.6742501623958</v>
      </c>
      <c r="P26" s="338">
        <f t="shared" si="10"/>
        <v>8410.6881901753877</v>
      </c>
      <c r="Q26" s="338">
        <f t="shared" si="10"/>
        <v>9083.5432453894191</v>
      </c>
      <c r="R26" s="338">
        <f t="shared" si="10"/>
        <v>9810.2267050205737</v>
      </c>
    </row>
    <row r="27" spans="1:18" s="139" customFormat="1" x14ac:dyDescent="0.3">
      <c r="C27" s="359"/>
    </row>
    <row r="28" spans="1:18" s="139" customFormat="1" x14ac:dyDescent="0.3">
      <c r="C28" s="359"/>
    </row>
    <row r="29" spans="1:18" s="338" customFormat="1" ht="15.6" x14ac:dyDescent="0.3">
      <c r="C29" s="360" t="s">
        <v>139</v>
      </c>
      <c r="D29" s="361">
        <v>25</v>
      </c>
    </row>
    <row r="30" spans="1:18" s="338" customFormat="1" x14ac:dyDescent="0.3">
      <c r="C30" s="362" t="s">
        <v>140</v>
      </c>
    </row>
    <row r="31" spans="1:18" s="338" customFormat="1" x14ac:dyDescent="0.3">
      <c r="A31" t="s">
        <v>373</v>
      </c>
      <c r="B31" s="139"/>
      <c r="C31" s="362"/>
      <c r="D31" s="338">
        <f t="shared" ref="D31:R31" si="11">D5*$D$29</f>
        <v>780450</v>
      </c>
      <c r="E31" s="338">
        <f t="shared" si="11"/>
        <v>842886</v>
      </c>
      <c r="F31" s="338">
        <f t="shared" si="11"/>
        <v>893459.15999999992</v>
      </c>
      <c r="G31" s="338">
        <f t="shared" si="11"/>
        <v>938132.1179999999</v>
      </c>
      <c r="H31" s="338">
        <f t="shared" si="11"/>
        <v>985038.72389999998</v>
      </c>
      <c r="I31" s="338">
        <f t="shared" si="11"/>
        <v>1034290.6600950001</v>
      </c>
      <c r="J31" s="338">
        <f t="shared" si="11"/>
        <v>1086005.19309975</v>
      </c>
      <c r="K31" s="338">
        <f t="shared" si="11"/>
        <v>1140305.4527547376</v>
      </c>
      <c r="L31" s="338">
        <f t="shared" si="11"/>
        <v>1197320.7253924746</v>
      </c>
      <c r="M31" s="338">
        <f t="shared" si="11"/>
        <v>1257186.7616620983</v>
      </c>
      <c r="N31" s="338">
        <f t="shared" si="11"/>
        <v>1320046.0997452033</v>
      </c>
      <c r="O31" s="338">
        <f t="shared" si="11"/>
        <v>1386048.4047324634</v>
      </c>
      <c r="P31" s="338">
        <f t="shared" si="11"/>
        <v>1455350.8249690866</v>
      </c>
      <c r="Q31" s="338">
        <f t="shared" si="11"/>
        <v>1528118.3662175408</v>
      </c>
      <c r="R31" s="338">
        <f t="shared" si="11"/>
        <v>1604524.2845284177</v>
      </c>
    </row>
    <row r="32" spans="1:18" s="338" customFormat="1" x14ac:dyDescent="0.3">
      <c r="A32" t="s">
        <v>374</v>
      </c>
      <c r="B32" s="139"/>
      <c r="C32" s="362"/>
      <c r="D32" s="338">
        <f t="shared" ref="D32:R32" si="12">D6*$D$29</f>
        <v>19000</v>
      </c>
      <c r="E32" s="338">
        <f t="shared" si="12"/>
        <v>20520</v>
      </c>
      <c r="F32" s="338">
        <f t="shared" si="12"/>
        <v>22161.599999999999</v>
      </c>
      <c r="G32" s="338">
        <f t="shared" si="12"/>
        <v>23934.527999999998</v>
      </c>
      <c r="H32" s="338">
        <f t="shared" si="12"/>
        <v>25849.290239999998</v>
      </c>
      <c r="I32" s="338">
        <f t="shared" si="12"/>
        <v>27917.233459199997</v>
      </c>
      <c r="J32" s="338">
        <f t="shared" si="12"/>
        <v>30150.612135935997</v>
      </c>
      <c r="K32" s="338">
        <f t="shared" si="12"/>
        <v>32562.661106810872</v>
      </c>
      <c r="L32" s="338">
        <f t="shared" si="12"/>
        <v>35167.673995355741</v>
      </c>
      <c r="M32" s="338">
        <f t="shared" si="12"/>
        <v>37981.0879149842</v>
      </c>
      <c r="N32" s="338">
        <f t="shared" si="12"/>
        <v>41019.574948182941</v>
      </c>
      <c r="O32" s="338">
        <f t="shared" si="12"/>
        <v>44301.140944037579</v>
      </c>
      <c r="P32" s="338">
        <f t="shared" si="12"/>
        <v>47845.232219560581</v>
      </c>
      <c r="Q32" s="338">
        <f t="shared" si="12"/>
        <v>51672.850797125429</v>
      </c>
      <c r="R32" s="338">
        <f t="shared" si="12"/>
        <v>55806.678860895467</v>
      </c>
    </row>
    <row r="33" spans="1:18" s="338" customFormat="1" x14ac:dyDescent="0.3">
      <c r="A33" t="s">
        <v>375</v>
      </c>
      <c r="B33" s="139"/>
      <c r="C33" s="362"/>
      <c r="D33" s="338">
        <f t="shared" ref="D33:R33" si="13">D7*$D$29</f>
        <v>3125</v>
      </c>
      <c r="E33" s="338">
        <f t="shared" si="13"/>
        <v>3375</v>
      </c>
      <c r="F33" s="338">
        <f t="shared" si="13"/>
        <v>3645.0000000000005</v>
      </c>
      <c r="G33" s="338">
        <f t="shared" si="13"/>
        <v>3936.6</v>
      </c>
      <c r="H33" s="338">
        <f t="shared" si="13"/>
        <v>4251.5279999999993</v>
      </c>
      <c r="I33" s="338">
        <f t="shared" si="13"/>
        <v>4591.6502399999999</v>
      </c>
      <c r="J33" s="338">
        <f t="shared" si="13"/>
        <v>4958.9822592</v>
      </c>
      <c r="K33" s="338">
        <f t="shared" si="13"/>
        <v>5355.7008399360002</v>
      </c>
      <c r="L33" s="338">
        <f t="shared" si="13"/>
        <v>5784.1569071308804</v>
      </c>
      <c r="M33" s="338">
        <f t="shared" si="13"/>
        <v>6246.8894597013514</v>
      </c>
      <c r="N33" s="338">
        <f t="shared" si="13"/>
        <v>6746.6406164774598</v>
      </c>
      <c r="O33" s="338">
        <f t="shared" si="13"/>
        <v>7286.371865795657</v>
      </c>
      <c r="P33" s="338">
        <f t="shared" si="13"/>
        <v>7869.2816150593089</v>
      </c>
      <c r="Q33" s="338">
        <f t="shared" si="13"/>
        <v>8498.8241442640538</v>
      </c>
      <c r="R33" s="338">
        <f t="shared" si="13"/>
        <v>9178.7300758051788</v>
      </c>
    </row>
    <row r="34" spans="1:18" s="338" customFormat="1" x14ac:dyDescent="0.3">
      <c r="A34" t="s">
        <v>376</v>
      </c>
      <c r="B34" s="139"/>
      <c r="C34" s="362"/>
      <c r="D34" s="338">
        <f t="shared" ref="D34:R34" si="14">D8*$D$29</f>
        <v>682200</v>
      </c>
      <c r="E34" s="338">
        <f t="shared" si="14"/>
        <v>736776</v>
      </c>
      <c r="F34" s="338">
        <f t="shared" si="14"/>
        <v>795718.08</v>
      </c>
      <c r="G34" s="338">
        <f t="shared" si="14"/>
        <v>859375.52639999997</v>
      </c>
      <c r="H34" s="338">
        <f t="shared" si="14"/>
        <v>928125.56851199991</v>
      </c>
      <c r="I34" s="338">
        <f t="shared" si="14"/>
        <v>1002375.61399296</v>
      </c>
      <c r="J34" s="338">
        <f t="shared" si="14"/>
        <v>1082565.6631123968</v>
      </c>
      <c r="K34" s="338">
        <f t="shared" si="14"/>
        <v>1169170.9161613886</v>
      </c>
      <c r="L34" s="338">
        <f t="shared" si="14"/>
        <v>1262704.5894542995</v>
      </c>
      <c r="M34" s="338">
        <f t="shared" si="14"/>
        <v>1363720.9566106435</v>
      </c>
      <c r="N34" s="338">
        <f t="shared" si="14"/>
        <v>1472818.633139495</v>
      </c>
      <c r="O34" s="338">
        <f t="shared" si="14"/>
        <v>1590644.1237906548</v>
      </c>
      <c r="P34" s="338">
        <f t="shared" si="14"/>
        <v>1717895.653693907</v>
      </c>
      <c r="Q34" s="338">
        <f t="shared" si="14"/>
        <v>1855327.3059894196</v>
      </c>
      <c r="R34" s="338">
        <f t="shared" si="14"/>
        <v>2003753.4904685731</v>
      </c>
    </row>
    <row r="35" spans="1:18" s="338" customFormat="1" x14ac:dyDescent="0.3">
      <c r="A35" s="139" t="s">
        <v>377</v>
      </c>
      <c r="B35" s="139"/>
      <c r="C35" s="362"/>
      <c r="D35" s="338">
        <f t="shared" ref="D35:R35" si="15">D9*$D$29</f>
        <v>4175</v>
      </c>
      <c r="E35" s="338">
        <f t="shared" si="15"/>
        <v>4509</v>
      </c>
      <c r="F35" s="338">
        <f t="shared" si="15"/>
        <v>4869.72</v>
      </c>
      <c r="G35" s="338">
        <f t="shared" si="15"/>
        <v>5259.2975999999999</v>
      </c>
      <c r="H35" s="338">
        <f t="shared" si="15"/>
        <v>5680.041408</v>
      </c>
      <c r="I35" s="338">
        <f t="shared" si="15"/>
        <v>6134.4447206400009</v>
      </c>
      <c r="J35" s="338">
        <f t="shared" si="15"/>
        <v>6625.2002982911999</v>
      </c>
      <c r="K35" s="338">
        <f t="shared" si="15"/>
        <v>7155.2163221544961</v>
      </c>
      <c r="L35" s="338">
        <f t="shared" si="15"/>
        <v>7727.6336279268544</v>
      </c>
      <c r="M35" s="338">
        <f t="shared" si="15"/>
        <v>8345.8443181610037</v>
      </c>
      <c r="N35" s="338">
        <f t="shared" si="15"/>
        <v>9013.511863613885</v>
      </c>
      <c r="O35" s="338">
        <f t="shared" si="15"/>
        <v>9734.5928127029947</v>
      </c>
      <c r="P35" s="338">
        <f t="shared" si="15"/>
        <v>10513.360237719235</v>
      </c>
      <c r="Q35" s="338">
        <f t="shared" si="15"/>
        <v>11354.429056736773</v>
      </c>
      <c r="R35" s="338">
        <f t="shared" si="15"/>
        <v>12262.783381275716</v>
      </c>
    </row>
    <row r="38" spans="1:18" s="2" customFormat="1" ht="15.6" x14ac:dyDescent="0.3">
      <c r="C38" s="68" t="s">
        <v>139</v>
      </c>
      <c r="D38" s="69">
        <v>30</v>
      </c>
    </row>
    <row r="39" spans="1:18" s="2" customFormat="1" x14ac:dyDescent="0.3">
      <c r="C39" s="59" t="s">
        <v>140</v>
      </c>
    </row>
    <row r="40" spans="1:18" s="2" customFormat="1" x14ac:dyDescent="0.3">
      <c r="A40" t="s">
        <v>373</v>
      </c>
      <c r="B40"/>
      <c r="C40" s="59"/>
      <c r="D40" s="2">
        <f t="shared" ref="D40:R40" si="16">D5*$D$38</f>
        <v>936540</v>
      </c>
      <c r="E40" s="2">
        <f t="shared" si="16"/>
        <v>1011463.2000000001</v>
      </c>
      <c r="F40" s="2">
        <f t="shared" si="16"/>
        <v>1072150.9920000001</v>
      </c>
      <c r="G40" s="2">
        <f t="shared" si="16"/>
        <v>1125758.5415999999</v>
      </c>
      <c r="H40" s="2">
        <f t="shared" si="16"/>
        <v>1182046.4686799999</v>
      </c>
      <c r="I40" s="2">
        <f t="shared" si="16"/>
        <v>1241148.7921140001</v>
      </c>
      <c r="J40" s="2">
        <f t="shared" si="16"/>
        <v>1303206.2317197002</v>
      </c>
      <c r="K40" s="2">
        <f t="shared" si="16"/>
        <v>1368366.543305685</v>
      </c>
      <c r="L40" s="2">
        <f t="shared" si="16"/>
        <v>1436784.8704709695</v>
      </c>
      <c r="M40" s="2">
        <f t="shared" si="16"/>
        <v>1508624.1139945178</v>
      </c>
      <c r="N40" s="2">
        <f t="shared" si="16"/>
        <v>1584055.3196942438</v>
      </c>
      <c r="O40" s="2">
        <f t="shared" si="16"/>
        <v>1663258.085678956</v>
      </c>
      <c r="P40" s="2">
        <f t="shared" si="16"/>
        <v>1746420.9899629038</v>
      </c>
      <c r="Q40" s="2">
        <f t="shared" si="16"/>
        <v>1833742.039461049</v>
      </c>
      <c r="R40" s="2">
        <f t="shared" si="16"/>
        <v>1925429.1414341014</v>
      </c>
    </row>
    <row r="41" spans="1:18" s="2" customFormat="1" x14ac:dyDescent="0.3">
      <c r="A41" t="s">
        <v>374</v>
      </c>
      <c r="B41"/>
      <c r="C41" s="59"/>
      <c r="D41" s="2">
        <f t="shared" ref="D41:R41" si="17">D6*$D$38</f>
        <v>22800</v>
      </c>
      <c r="E41" s="2">
        <f t="shared" si="17"/>
        <v>24624</v>
      </c>
      <c r="F41" s="2">
        <f t="shared" si="17"/>
        <v>26593.919999999998</v>
      </c>
      <c r="G41" s="2">
        <f t="shared" si="17"/>
        <v>28721.433599999997</v>
      </c>
      <c r="H41" s="2">
        <f t="shared" si="17"/>
        <v>31019.148288</v>
      </c>
      <c r="I41" s="2">
        <f t="shared" si="17"/>
        <v>33500.680151039996</v>
      </c>
      <c r="J41" s="2">
        <f t="shared" si="17"/>
        <v>36180.734563123195</v>
      </c>
      <c r="K41" s="2">
        <f t="shared" si="17"/>
        <v>39075.193328173045</v>
      </c>
      <c r="L41" s="2">
        <f t="shared" si="17"/>
        <v>42201.208794426893</v>
      </c>
      <c r="M41" s="2">
        <f t="shared" si="17"/>
        <v>45577.305497981048</v>
      </c>
      <c r="N41" s="2">
        <f t="shared" si="17"/>
        <v>49223.489937819526</v>
      </c>
      <c r="O41" s="2">
        <f t="shared" si="17"/>
        <v>53161.369132845088</v>
      </c>
      <c r="P41" s="2">
        <f t="shared" si="17"/>
        <v>57414.278663472694</v>
      </c>
      <c r="Q41" s="2">
        <f t="shared" si="17"/>
        <v>62007.420956550515</v>
      </c>
      <c r="R41" s="2">
        <f t="shared" si="17"/>
        <v>66968.014633074563</v>
      </c>
    </row>
    <row r="42" spans="1:18" s="2" customFormat="1" x14ac:dyDescent="0.3">
      <c r="A42" t="s">
        <v>375</v>
      </c>
      <c r="B42"/>
      <c r="C42" s="59"/>
      <c r="D42" s="2">
        <f t="shared" ref="D42:R42" si="18">D7*$D$38</f>
        <v>3750</v>
      </c>
      <c r="E42" s="2">
        <f t="shared" si="18"/>
        <v>4050</v>
      </c>
      <c r="F42" s="2">
        <f t="shared" si="18"/>
        <v>4374</v>
      </c>
      <c r="G42" s="2">
        <f t="shared" si="18"/>
        <v>4723.92</v>
      </c>
      <c r="H42" s="2">
        <f t="shared" si="18"/>
        <v>5101.8335999999999</v>
      </c>
      <c r="I42" s="2">
        <f t="shared" si="18"/>
        <v>5509.9802879999997</v>
      </c>
      <c r="J42" s="2">
        <f t="shared" si="18"/>
        <v>5950.7787110399995</v>
      </c>
      <c r="K42" s="2">
        <f t="shared" si="18"/>
        <v>6426.8410079231999</v>
      </c>
      <c r="L42" s="2">
        <f t="shared" si="18"/>
        <v>6940.9882885570569</v>
      </c>
      <c r="M42" s="2">
        <f t="shared" si="18"/>
        <v>7496.2673516416207</v>
      </c>
      <c r="N42" s="2">
        <f t="shared" si="18"/>
        <v>8095.9687397729513</v>
      </c>
      <c r="O42" s="2">
        <f t="shared" si="18"/>
        <v>8743.6462389547887</v>
      </c>
      <c r="P42" s="2">
        <f t="shared" si="18"/>
        <v>9443.1379380711714</v>
      </c>
      <c r="Q42" s="2">
        <f t="shared" si="18"/>
        <v>10198.588973116865</v>
      </c>
      <c r="R42" s="2">
        <f t="shared" si="18"/>
        <v>11014.476090966215</v>
      </c>
    </row>
    <row r="43" spans="1:18" s="2" customFormat="1" x14ac:dyDescent="0.3">
      <c r="A43" t="s">
        <v>376</v>
      </c>
      <c r="B43"/>
      <c r="C43" s="59"/>
      <c r="D43" s="2">
        <f t="shared" ref="D43:R43" si="19">D8*$D$38</f>
        <v>818640</v>
      </c>
      <c r="E43" s="2">
        <f t="shared" si="19"/>
        <v>884131.20000000007</v>
      </c>
      <c r="F43" s="2">
        <f t="shared" si="19"/>
        <v>954861.696</v>
      </c>
      <c r="G43" s="2">
        <f t="shared" si="19"/>
        <v>1031250.6316799999</v>
      </c>
      <c r="H43" s="2">
        <f t="shared" si="19"/>
        <v>1113750.6822143998</v>
      </c>
      <c r="I43" s="2">
        <f t="shared" si="19"/>
        <v>1202850.7367915518</v>
      </c>
      <c r="J43" s="2">
        <f t="shared" si="19"/>
        <v>1299078.7957348761</v>
      </c>
      <c r="K43" s="2">
        <f t="shared" si="19"/>
        <v>1403005.0993936663</v>
      </c>
      <c r="L43" s="2">
        <f t="shared" si="19"/>
        <v>1515245.5073451595</v>
      </c>
      <c r="M43" s="2">
        <f t="shared" si="19"/>
        <v>1636465.1479327723</v>
      </c>
      <c r="N43" s="2">
        <f t="shared" si="19"/>
        <v>1767382.3597673941</v>
      </c>
      <c r="O43" s="2">
        <f t="shared" si="19"/>
        <v>1908772.9485487856</v>
      </c>
      <c r="P43" s="2">
        <f t="shared" si="19"/>
        <v>2061474.7844326883</v>
      </c>
      <c r="Q43" s="2">
        <f t="shared" si="19"/>
        <v>2226392.7671873034</v>
      </c>
      <c r="R43" s="2">
        <f t="shared" si="19"/>
        <v>2404504.1885622875</v>
      </c>
    </row>
    <row r="44" spans="1:18" s="279" customFormat="1" x14ac:dyDescent="0.3">
      <c r="A44" s="139" t="s">
        <v>377</v>
      </c>
      <c r="B44" s="173"/>
      <c r="C44" s="342"/>
      <c r="D44" s="279">
        <f t="shared" ref="D44:R44" si="20">D9*$D$38</f>
        <v>5010</v>
      </c>
      <c r="E44" s="279">
        <f t="shared" si="20"/>
        <v>5410.8</v>
      </c>
      <c r="F44" s="279">
        <f t="shared" si="20"/>
        <v>5843.6640000000007</v>
      </c>
      <c r="G44" s="279">
        <f t="shared" si="20"/>
        <v>6311.1571199999998</v>
      </c>
      <c r="H44" s="279">
        <f t="shared" si="20"/>
        <v>6816.0496896000004</v>
      </c>
      <c r="I44" s="279">
        <f t="shared" si="20"/>
        <v>7361.3336647680007</v>
      </c>
      <c r="J44" s="279">
        <f t="shared" si="20"/>
        <v>7950.2403579494403</v>
      </c>
      <c r="K44" s="279">
        <f t="shared" si="20"/>
        <v>8586.2595865853946</v>
      </c>
      <c r="L44" s="279">
        <f t="shared" si="20"/>
        <v>9273.1603535122267</v>
      </c>
      <c r="M44" s="279">
        <f t="shared" si="20"/>
        <v>10015.013181793205</v>
      </c>
      <c r="N44" s="279">
        <f t="shared" si="20"/>
        <v>10816.21423633666</v>
      </c>
      <c r="O44" s="279">
        <f t="shared" si="20"/>
        <v>11681.511375243594</v>
      </c>
      <c r="P44" s="279">
        <f t="shared" si="20"/>
        <v>12616.032285263082</v>
      </c>
      <c r="Q44" s="279">
        <f t="shared" si="20"/>
        <v>13625.31486808413</v>
      </c>
      <c r="R44" s="279">
        <f t="shared" si="20"/>
        <v>14715.340057530859</v>
      </c>
    </row>
    <row r="46" spans="1:18" s="312" customFormat="1" ht="28.8" x14ac:dyDescent="0.3">
      <c r="C46" s="313" t="s">
        <v>133</v>
      </c>
      <c r="D46" s="312">
        <v>0.02</v>
      </c>
      <c r="E46" s="312">
        <v>0.08</v>
      </c>
      <c r="F46" s="312">
        <v>0.06</v>
      </c>
      <c r="G46" s="312">
        <v>0.05</v>
      </c>
      <c r="H46" s="312">
        <v>0.05</v>
      </c>
      <c r="I46" s="312">
        <v>0.05</v>
      </c>
      <c r="J46" s="312">
        <v>0.05</v>
      </c>
      <c r="K46" s="312">
        <v>0.05</v>
      </c>
      <c r="L46" s="312">
        <v>0.05</v>
      </c>
      <c r="M46" s="312">
        <v>0.05</v>
      </c>
      <c r="N46" s="312">
        <v>0.05</v>
      </c>
      <c r="O46" s="312">
        <v>0.05</v>
      </c>
      <c r="P46" s="312">
        <v>0.05</v>
      </c>
      <c r="Q46" s="312">
        <v>0.05</v>
      </c>
      <c r="R46" s="312">
        <v>0.05</v>
      </c>
    </row>
    <row r="47" spans="1:18" s="314" customFormat="1" x14ac:dyDescent="0.3">
      <c r="D47" s="314" t="s">
        <v>118</v>
      </c>
      <c r="E47" s="314" t="s">
        <v>119</v>
      </c>
      <c r="F47" s="314" t="s">
        <v>120</v>
      </c>
      <c r="G47" s="314" t="s">
        <v>121</v>
      </c>
      <c r="H47" s="314" t="s">
        <v>122</v>
      </c>
      <c r="I47" s="314" t="s">
        <v>123</v>
      </c>
      <c r="J47" s="314" t="s">
        <v>124</v>
      </c>
      <c r="K47" s="314" t="s">
        <v>125</v>
      </c>
      <c r="L47" s="314" t="s">
        <v>126</v>
      </c>
      <c r="M47" s="314" t="s">
        <v>127</v>
      </c>
      <c r="N47" s="314" t="s">
        <v>128</v>
      </c>
      <c r="O47" s="314" t="s">
        <v>129</v>
      </c>
      <c r="P47" s="314" t="s">
        <v>130</v>
      </c>
      <c r="Q47" s="314" t="s">
        <v>131</v>
      </c>
      <c r="R47" s="314" t="s">
        <v>132</v>
      </c>
    </row>
    <row r="48" spans="1:18" s="236" customFormat="1" x14ac:dyDescent="0.3">
      <c r="A48" t="s">
        <v>343</v>
      </c>
      <c r="C48" s="315">
        <v>28346</v>
      </c>
      <c r="D48" s="316">
        <f>C48 +(C48*$D$3)</f>
        <v>28346</v>
      </c>
      <c r="E48" s="316">
        <f>D48 +(D48*$E$3)</f>
        <v>30613.68</v>
      </c>
      <c r="F48" s="316">
        <f t="shared" ref="F48" si="21">E48 +(E48*F46)</f>
        <v>32450.500800000002</v>
      </c>
      <c r="G48" s="316">
        <f t="shared" ref="G48" si="22">F48 +(F48*G46)</f>
        <v>34073.025840000002</v>
      </c>
      <c r="H48" s="316">
        <f t="shared" ref="H48" si="23">G48 +(G48*H46)</f>
        <v>35776.677132000004</v>
      </c>
      <c r="I48" s="316">
        <f t="shared" ref="I48" si="24">H48 +(H48*I46)</f>
        <v>37565.510988600006</v>
      </c>
      <c r="J48" s="316">
        <f t="shared" ref="J48" si="25">I48 +(I48*J46)</f>
        <v>39443.786538030006</v>
      </c>
      <c r="K48" s="316">
        <f t="shared" ref="K48" si="26">J48 +(J48*K46)</f>
        <v>41415.975864931504</v>
      </c>
      <c r="L48" s="316">
        <f t="shared" ref="L48" si="27">K48 +(K48*L46)</f>
        <v>43486.774658178081</v>
      </c>
      <c r="M48" s="316">
        <f t="shared" ref="M48" si="28">L48 +(L48*M46)</f>
        <v>45661.113391086983</v>
      </c>
      <c r="N48" s="316">
        <f t="shared" ref="N48" si="29">M48 +(M48*N46)</f>
        <v>47944.169060641332</v>
      </c>
      <c r="O48" s="316">
        <f t="shared" ref="O48" si="30">N48 +(N48*O46)</f>
        <v>50341.377513673397</v>
      </c>
      <c r="P48" s="316">
        <f t="shared" ref="P48" si="31">O48 +(O48*P46)</f>
        <v>52858.446389357065</v>
      </c>
      <c r="Q48" s="316">
        <f t="shared" ref="Q48" si="32">P48 +(P48*Q46)</f>
        <v>55501.368708824921</v>
      </c>
      <c r="R48" s="316">
        <f t="shared" ref="R48" si="33">Q48 +(Q48*R46)</f>
        <v>58276.437144266165</v>
      </c>
    </row>
    <row r="49" spans="1:18" s="236" customFormat="1" x14ac:dyDescent="0.3">
      <c r="A49" t="s">
        <v>344</v>
      </c>
      <c r="C49" s="315">
        <v>63602</v>
      </c>
      <c r="D49" s="316">
        <f t="shared" ref="D49:D52" si="34">C49 +(C49*$D$3)</f>
        <v>63602</v>
      </c>
      <c r="E49" s="316">
        <f t="shared" ref="E49:E52" si="35">D49 +(D49*$E$3)</f>
        <v>68690.16</v>
      </c>
      <c r="F49" s="316">
        <f t="shared" ref="F49:F52" si="36">E49 +(E49*$E$3)</f>
        <v>74185.372799999997</v>
      </c>
      <c r="G49" s="316">
        <f t="shared" ref="G49:G52" si="37">F49 +(F49*$E$3)</f>
        <v>80120.202623999998</v>
      </c>
      <c r="H49" s="316">
        <f t="shared" ref="H49:H52" si="38">G49 +(G49*$E$3)</f>
        <v>86529.818833919999</v>
      </c>
      <c r="I49" s="316">
        <f t="shared" ref="I49:I52" si="39">H49 +(H49*$E$3)</f>
        <v>93452.204340633602</v>
      </c>
      <c r="J49" s="316">
        <f t="shared" ref="J49:J52" si="40">I49 +(I49*$E$3)</f>
        <v>100928.38068788429</v>
      </c>
      <c r="K49" s="316">
        <f t="shared" ref="K49:K52" si="41">J49 +(J49*$E$3)</f>
        <v>109002.65114291503</v>
      </c>
      <c r="L49" s="316">
        <f t="shared" ref="L49:L52" si="42">K49 +(K49*$E$3)</f>
        <v>117722.86323434823</v>
      </c>
      <c r="M49" s="316">
        <f t="shared" ref="M49:M52" si="43">L49 +(L49*$E$3)</f>
        <v>127140.69229309609</v>
      </c>
      <c r="N49" s="316">
        <f t="shared" ref="N49:N52" si="44">M49 +(M49*$E$3)</f>
        <v>137311.94767654379</v>
      </c>
      <c r="O49" s="316">
        <f t="shared" ref="O49:O52" si="45">N49 +(N49*$E$3)</f>
        <v>148296.90349066729</v>
      </c>
      <c r="P49" s="316">
        <f t="shared" ref="P49:P52" si="46">O49 +(O49*$E$3)</f>
        <v>160160.65576992068</v>
      </c>
      <c r="Q49" s="316">
        <f t="shared" ref="Q49:Q52" si="47">P49 +(P49*$E$3)</f>
        <v>172973.50823151434</v>
      </c>
      <c r="R49" s="316">
        <f t="shared" ref="R49:R52" si="48">Q49 +(Q49*$E$3)</f>
        <v>186811.38889003548</v>
      </c>
    </row>
    <row r="50" spans="1:18" s="236" customFormat="1" x14ac:dyDescent="0.3">
      <c r="A50" t="s">
        <v>345</v>
      </c>
      <c r="C50" s="315">
        <v>63796</v>
      </c>
      <c r="D50" s="316">
        <f t="shared" si="34"/>
        <v>63796</v>
      </c>
      <c r="E50" s="316">
        <f t="shared" si="35"/>
        <v>68899.679999999993</v>
      </c>
      <c r="F50" s="316">
        <f t="shared" si="36"/>
        <v>74411.654399999999</v>
      </c>
      <c r="G50" s="316">
        <f t="shared" si="37"/>
        <v>80364.586752000003</v>
      </c>
      <c r="H50" s="316">
        <f t="shared" si="38"/>
        <v>86793.753692159997</v>
      </c>
      <c r="I50" s="316">
        <f t="shared" si="39"/>
        <v>93737.253987532793</v>
      </c>
      <c r="J50" s="316">
        <f t="shared" si="40"/>
        <v>101236.23430653542</v>
      </c>
      <c r="K50" s="316">
        <f t="shared" si="41"/>
        <v>109335.13305105825</v>
      </c>
      <c r="L50" s="316">
        <f t="shared" si="42"/>
        <v>118081.94369514291</v>
      </c>
      <c r="M50" s="316">
        <f t="shared" si="43"/>
        <v>127528.49919075434</v>
      </c>
      <c r="N50" s="316">
        <f t="shared" si="44"/>
        <v>137730.77912601468</v>
      </c>
      <c r="O50" s="316">
        <f t="shared" si="45"/>
        <v>148749.24145609586</v>
      </c>
      <c r="P50" s="316">
        <f t="shared" si="46"/>
        <v>160649.18077258352</v>
      </c>
      <c r="Q50" s="316">
        <f t="shared" si="47"/>
        <v>173501.11523439019</v>
      </c>
      <c r="R50" s="316">
        <f t="shared" si="48"/>
        <v>187381.2044531414</v>
      </c>
    </row>
    <row r="51" spans="1:18" s="236" customFormat="1" x14ac:dyDescent="0.3">
      <c r="A51" t="s">
        <v>346</v>
      </c>
      <c r="C51" s="315">
        <v>65264</v>
      </c>
      <c r="D51" s="316">
        <f t="shared" si="34"/>
        <v>65264</v>
      </c>
      <c r="E51" s="316">
        <f t="shared" si="35"/>
        <v>70485.119999999995</v>
      </c>
      <c r="F51" s="316">
        <f t="shared" si="36"/>
        <v>76123.929599999989</v>
      </c>
      <c r="G51" s="316">
        <f t="shared" si="37"/>
        <v>82213.843967999986</v>
      </c>
      <c r="H51" s="316">
        <f t="shared" si="38"/>
        <v>88790.951485439989</v>
      </c>
      <c r="I51" s="316">
        <f t="shared" si="39"/>
        <v>95894.227604275191</v>
      </c>
      <c r="J51" s="316">
        <f t="shared" si="40"/>
        <v>103565.7658126172</v>
      </c>
      <c r="K51" s="316">
        <f t="shared" si="41"/>
        <v>111851.02707762658</v>
      </c>
      <c r="L51" s="316">
        <f t="shared" si="42"/>
        <v>120799.1092438367</v>
      </c>
      <c r="M51" s="316">
        <f t="shared" si="43"/>
        <v>130463.03798334365</v>
      </c>
      <c r="N51" s="316">
        <f t="shared" si="44"/>
        <v>140900.08102201115</v>
      </c>
      <c r="O51" s="316">
        <f t="shared" si="45"/>
        <v>152172.08750377203</v>
      </c>
      <c r="P51" s="316">
        <f t="shared" si="46"/>
        <v>164345.8545040738</v>
      </c>
      <c r="Q51" s="316">
        <f t="shared" si="47"/>
        <v>177493.52286439971</v>
      </c>
      <c r="R51" s="316">
        <f t="shared" si="48"/>
        <v>191693.00469355169</v>
      </c>
    </row>
    <row r="52" spans="1:18" s="236" customFormat="1" x14ac:dyDescent="0.3">
      <c r="A52" t="s">
        <v>347</v>
      </c>
      <c r="C52" s="315">
        <v>65457</v>
      </c>
      <c r="D52" s="316">
        <f t="shared" si="34"/>
        <v>65457</v>
      </c>
      <c r="E52" s="316">
        <f t="shared" si="35"/>
        <v>70693.56</v>
      </c>
      <c r="F52" s="316">
        <f t="shared" si="36"/>
        <v>76349.044800000003</v>
      </c>
      <c r="G52" s="316">
        <f t="shared" si="37"/>
        <v>82456.968384000007</v>
      </c>
      <c r="H52" s="316">
        <f t="shared" si="38"/>
        <v>89053.525854720006</v>
      </c>
      <c r="I52" s="316">
        <f t="shared" si="39"/>
        <v>96177.8079230976</v>
      </c>
      <c r="J52" s="316">
        <f t="shared" si="40"/>
        <v>103872.03255694541</v>
      </c>
      <c r="K52" s="316">
        <f t="shared" si="41"/>
        <v>112181.79516150105</v>
      </c>
      <c r="L52" s="316">
        <f t="shared" si="42"/>
        <v>121156.33877442114</v>
      </c>
      <c r="M52" s="316">
        <f t="shared" si="43"/>
        <v>130848.84587637483</v>
      </c>
      <c r="N52" s="316">
        <f t="shared" si="44"/>
        <v>141316.75354648483</v>
      </c>
      <c r="O52" s="316">
        <f t="shared" si="45"/>
        <v>152622.09383020361</v>
      </c>
      <c r="P52" s="316">
        <f t="shared" si="46"/>
        <v>164831.86133661988</v>
      </c>
      <c r="Q52" s="316">
        <f t="shared" si="47"/>
        <v>178018.41024354947</v>
      </c>
      <c r="R52" s="316">
        <f t="shared" si="48"/>
        <v>192259.88306303343</v>
      </c>
    </row>
    <row r="53" spans="1:18" s="236" customFormat="1" x14ac:dyDescent="0.3">
      <c r="C53" s="315"/>
    </row>
    <row r="54" spans="1:18" s="236" customFormat="1" x14ac:dyDescent="0.3">
      <c r="C54" s="315"/>
    </row>
    <row r="55" spans="1:18" s="235" customFormat="1" ht="15.6" x14ac:dyDescent="0.3">
      <c r="C55" s="317" t="s">
        <v>139</v>
      </c>
      <c r="D55" s="318">
        <v>20</v>
      </c>
    </row>
    <row r="56" spans="1:18" s="235" customFormat="1" x14ac:dyDescent="0.3">
      <c r="C56" s="319" t="s">
        <v>140</v>
      </c>
    </row>
    <row r="57" spans="1:18" s="235" customFormat="1" x14ac:dyDescent="0.3">
      <c r="A57" s="236" t="s">
        <v>134</v>
      </c>
      <c r="B57" s="236"/>
      <c r="C57" s="319"/>
      <c r="D57" s="235">
        <f>D48*$D$20</f>
        <v>566920</v>
      </c>
      <c r="E57" s="235">
        <f t="shared" ref="E57:R57" si="49">E48*$D$20</f>
        <v>612273.6</v>
      </c>
      <c r="F57" s="235">
        <f t="shared" si="49"/>
        <v>649010.01600000006</v>
      </c>
      <c r="G57" s="235">
        <f t="shared" si="49"/>
        <v>681460.5168000001</v>
      </c>
      <c r="H57" s="235">
        <f t="shared" si="49"/>
        <v>715533.54264000012</v>
      </c>
      <c r="I57" s="235">
        <f t="shared" si="49"/>
        <v>751310.2197720001</v>
      </c>
      <c r="J57" s="235">
        <f t="shared" si="49"/>
        <v>788875.73076060019</v>
      </c>
      <c r="K57" s="235">
        <f t="shared" si="49"/>
        <v>828319.51729863009</v>
      </c>
      <c r="L57" s="235">
        <f t="shared" si="49"/>
        <v>869735.49316356168</v>
      </c>
      <c r="M57" s="235">
        <f t="shared" si="49"/>
        <v>913222.26782173966</v>
      </c>
      <c r="N57" s="235">
        <f t="shared" si="49"/>
        <v>958883.38121282659</v>
      </c>
      <c r="O57" s="235">
        <f t="shared" si="49"/>
        <v>1006827.5502734679</v>
      </c>
      <c r="P57" s="235">
        <f t="shared" si="49"/>
        <v>1057168.9277871414</v>
      </c>
      <c r="Q57" s="235">
        <f t="shared" si="49"/>
        <v>1110027.3741764985</v>
      </c>
      <c r="R57" s="235">
        <f t="shared" si="49"/>
        <v>1165528.7428853232</v>
      </c>
    </row>
    <row r="58" spans="1:18" s="235" customFormat="1" x14ac:dyDescent="0.3">
      <c r="A58" s="236" t="s">
        <v>135</v>
      </c>
      <c r="B58" s="236"/>
      <c r="C58" s="319"/>
      <c r="D58" s="235">
        <f t="shared" ref="D58:R58" si="50">D49*$D$20</f>
        <v>1272040</v>
      </c>
      <c r="E58" s="235">
        <f t="shared" si="50"/>
        <v>1373803.2000000002</v>
      </c>
      <c r="F58" s="235">
        <f t="shared" si="50"/>
        <v>1483707.456</v>
      </c>
      <c r="G58" s="235">
        <f t="shared" si="50"/>
        <v>1602404.0524800001</v>
      </c>
      <c r="H58" s="235">
        <f t="shared" si="50"/>
        <v>1730596.3766784</v>
      </c>
      <c r="I58" s="235">
        <f t="shared" si="50"/>
        <v>1869044.086812672</v>
      </c>
      <c r="J58" s="235">
        <f t="shared" si="50"/>
        <v>2018567.6137576858</v>
      </c>
      <c r="K58" s="235">
        <f t="shared" si="50"/>
        <v>2180053.0228583007</v>
      </c>
      <c r="L58" s="235">
        <f t="shared" si="50"/>
        <v>2354457.2646869645</v>
      </c>
      <c r="M58" s="235">
        <f t="shared" si="50"/>
        <v>2542813.8458619216</v>
      </c>
      <c r="N58" s="235">
        <f t="shared" si="50"/>
        <v>2746238.953530876</v>
      </c>
      <c r="O58" s="235">
        <f t="shared" si="50"/>
        <v>2965938.0698133456</v>
      </c>
      <c r="P58" s="235">
        <f t="shared" si="50"/>
        <v>3203213.1153984135</v>
      </c>
      <c r="Q58" s="235">
        <f t="shared" si="50"/>
        <v>3459470.1646302869</v>
      </c>
      <c r="R58" s="235">
        <f t="shared" si="50"/>
        <v>3736227.7778007095</v>
      </c>
    </row>
    <row r="59" spans="1:18" s="235" customFormat="1" x14ac:dyDescent="0.3">
      <c r="A59" s="236" t="s">
        <v>136</v>
      </c>
      <c r="B59" s="236"/>
      <c r="C59" s="319"/>
      <c r="D59" s="235">
        <f t="shared" ref="D59:R59" si="51">D50*$D$20</f>
        <v>1275920</v>
      </c>
      <c r="E59" s="235">
        <f t="shared" si="51"/>
        <v>1377993.5999999999</v>
      </c>
      <c r="F59" s="235">
        <f t="shared" si="51"/>
        <v>1488233.088</v>
      </c>
      <c r="G59" s="235">
        <f t="shared" si="51"/>
        <v>1607291.7350400002</v>
      </c>
      <c r="H59" s="235">
        <f t="shared" si="51"/>
        <v>1735875.0738432</v>
      </c>
      <c r="I59" s="235">
        <f t="shared" si="51"/>
        <v>1874745.0797506559</v>
      </c>
      <c r="J59" s="235">
        <f t="shared" si="51"/>
        <v>2024724.6861307085</v>
      </c>
      <c r="K59" s="235">
        <f t="shared" si="51"/>
        <v>2186702.6610211651</v>
      </c>
      <c r="L59" s="235">
        <f t="shared" si="51"/>
        <v>2361638.8739028582</v>
      </c>
      <c r="M59" s="235">
        <f t="shared" si="51"/>
        <v>2550569.983815087</v>
      </c>
      <c r="N59" s="235">
        <f t="shared" si="51"/>
        <v>2754615.5825202935</v>
      </c>
      <c r="O59" s="235">
        <f t="shared" si="51"/>
        <v>2974984.829121917</v>
      </c>
      <c r="P59" s="235">
        <f t="shared" si="51"/>
        <v>3212983.6154516703</v>
      </c>
      <c r="Q59" s="235">
        <f t="shared" si="51"/>
        <v>3470022.3046878036</v>
      </c>
      <c r="R59" s="235">
        <f t="shared" si="51"/>
        <v>3747624.0890628281</v>
      </c>
    </row>
    <row r="60" spans="1:18" s="235" customFormat="1" x14ac:dyDescent="0.3">
      <c r="A60" s="236" t="s">
        <v>137</v>
      </c>
      <c r="B60" s="236"/>
      <c r="C60" s="319"/>
      <c r="D60" s="235">
        <f t="shared" ref="D60:R60" si="52">D51*$D$20</f>
        <v>1305280</v>
      </c>
      <c r="E60" s="235">
        <f t="shared" si="52"/>
        <v>1409702.4</v>
      </c>
      <c r="F60" s="235">
        <f t="shared" si="52"/>
        <v>1522478.5919999997</v>
      </c>
      <c r="G60" s="235">
        <f t="shared" si="52"/>
        <v>1644276.8793599997</v>
      </c>
      <c r="H60" s="235">
        <f t="shared" si="52"/>
        <v>1775819.0297087999</v>
      </c>
      <c r="I60" s="235">
        <f t="shared" si="52"/>
        <v>1917884.5520855039</v>
      </c>
      <c r="J60" s="235">
        <f t="shared" si="52"/>
        <v>2071315.3162523441</v>
      </c>
      <c r="K60" s="235">
        <f t="shared" si="52"/>
        <v>2237020.5415525315</v>
      </c>
      <c r="L60" s="235">
        <f t="shared" si="52"/>
        <v>2415982.1848767339</v>
      </c>
      <c r="M60" s="235">
        <f t="shared" si="52"/>
        <v>2609260.7596668731</v>
      </c>
      <c r="N60" s="235">
        <f t="shared" si="52"/>
        <v>2818001.6204402228</v>
      </c>
      <c r="O60" s="235">
        <f t="shared" si="52"/>
        <v>3043441.7500754404</v>
      </c>
      <c r="P60" s="235">
        <f t="shared" si="52"/>
        <v>3286917.0900814757</v>
      </c>
      <c r="Q60" s="235">
        <f t="shared" si="52"/>
        <v>3549870.4572879942</v>
      </c>
      <c r="R60" s="235">
        <f t="shared" si="52"/>
        <v>3833860.0938710338</v>
      </c>
    </row>
    <row r="61" spans="1:18" s="235" customFormat="1" x14ac:dyDescent="0.3">
      <c r="A61" s="236" t="s">
        <v>138</v>
      </c>
      <c r="B61" s="236"/>
      <c r="C61" s="319"/>
      <c r="D61" s="235">
        <f t="shared" ref="D61:R61" si="53">D52*$D$20</f>
        <v>1309140</v>
      </c>
      <c r="E61" s="235">
        <f t="shared" si="53"/>
        <v>1413871.2</v>
      </c>
      <c r="F61" s="235">
        <f t="shared" si="53"/>
        <v>1526980.8960000002</v>
      </c>
      <c r="G61" s="235">
        <f t="shared" si="53"/>
        <v>1649139.3676800001</v>
      </c>
      <c r="H61" s="235">
        <f t="shared" si="53"/>
        <v>1781070.5170944002</v>
      </c>
      <c r="I61" s="235">
        <f t="shared" si="53"/>
        <v>1923556.1584619521</v>
      </c>
      <c r="J61" s="235">
        <f t="shared" si="53"/>
        <v>2077440.6511389082</v>
      </c>
      <c r="K61" s="235">
        <f t="shared" si="53"/>
        <v>2243635.9032300212</v>
      </c>
      <c r="L61" s="235">
        <f t="shared" si="53"/>
        <v>2423126.7754884227</v>
      </c>
      <c r="M61" s="235">
        <f t="shared" si="53"/>
        <v>2616976.9175274968</v>
      </c>
      <c r="N61" s="235">
        <f t="shared" si="53"/>
        <v>2826335.0709296968</v>
      </c>
      <c r="O61" s="235">
        <f t="shared" si="53"/>
        <v>3052441.8766040723</v>
      </c>
      <c r="P61" s="235">
        <f t="shared" si="53"/>
        <v>3296637.2267323975</v>
      </c>
      <c r="Q61" s="235">
        <f t="shared" si="53"/>
        <v>3560368.2048709895</v>
      </c>
      <c r="R61" s="235">
        <f t="shared" si="53"/>
        <v>3845197.6612606687</v>
      </c>
    </row>
    <row r="62" spans="1:18" s="236" customFormat="1" x14ac:dyDescent="0.3">
      <c r="C62" s="315"/>
    </row>
    <row r="63" spans="1:18" s="236" customFormat="1" x14ac:dyDescent="0.3">
      <c r="C63" s="315"/>
    </row>
    <row r="64" spans="1:18" s="235" customFormat="1" ht="15.6" x14ac:dyDescent="0.3">
      <c r="C64" s="317" t="s">
        <v>139</v>
      </c>
      <c r="D64" s="318">
        <v>25</v>
      </c>
    </row>
    <row r="65" spans="1:18" s="235" customFormat="1" x14ac:dyDescent="0.3">
      <c r="C65" s="319" t="s">
        <v>140</v>
      </c>
    </row>
    <row r="66" spans="1:18" s="235" customFormat="1" x14ac:dyDescent="0.3">
      <c r="A66" s="236" t="s">
        <v>134</v>
      </c>
      <c r="B66" s="236"/>
      <c r="C66" s="319"/>
      <c r="D66" s="235">
        <f>D48*$D$29</f>
        <v>708650</v>
      </c>
      <c r="E66" s="235">
        <f t="shared" ref="E66:R66" si="54">E48*$D$29</f>
        <v>765342</v>
      </c>
      <c r="F66" s="235">
        <f t="shared" si="54"/>
        <v>811262.52</v>
      </c>
      <c r="G66" s="235">
        <f t="shared" si="54"/>
        <v>851825.64600000007</v>
      </c>
      <c r="H66" s="235">
        <f t="shared" si="54"/>
        <v>894416.92830000015</v>
      </c>
      <c r="I66" s="235">
        <f t="shared" si="54"/>
        <v>939137.77471500018</v>
      </c>
      <c r="J66" s="235">
        <f t="shared" si="54"/>
        <v>986094.66345075017</v>
      </c>
      <c r="K66" s="235">
        <f t="shared" si="54"/>
        <v>1035399.3966232876</v>
      </c>
      <c r="L66" s="235">
        <f t="shared" si="54"/>
        <v>1087169.366454452</v>
      </c>
      <c r="M66" s="235">
        <f t="shared" si="54"/>
        <v>1141527.8347771745</v>
      </c>
      <c r="N66" s="235">
        <f t="shared" si="54"/>
        <v>1198604.2265160333</v>
      </c>
      <c r="O66" s="235">
        <f t="shared" si="54"/>
        <v>1258534.437841835</v>
      </c>
      <c r="P66" s="235">
        <f t="shared" si="54"/>
        <v>1321461.1597339266</v>
      </c>
      <c r="Q66" s="235">
        <f t="shared" si="54"/>
        <v>1387534.2177206231</v>
      </c>
      <c r="R66" s="235">
        <f t="shared" si="54"/>
        <v>1456910.9286066541</v>
      </c>
    </row>
    <row r="67" spans="1:18" s="235" customFormat="1" x14ac:dyDescent="0.3">
      <c r="A67" s="236" t="s">
        <v>135</v>
      </c>
      <c r="B67" s="236"/>
      <c r="C67" s="319"/>
      <c r="D67" s="235">
        <f t="shared" ref="D67:R67" si="55">D49*$D$29</f>
        <v>1590050</v>
      </c>
      <c r="E67" s="235">
        <f t="shared" si="55"/>
        <v>1717254</v>
      </c>
      <c r="F67" s="235">
        <f t="shared" si="55"/>
        <v>1854634.3199999998</v>
      </c>
      <c r="G67" s="235">
        <f t="shared" si="55"/>
        <v>2003005.0655999999</v>
      </c>
      <c r="H67" s="235">
        <f t="shared" si="55"/>
        <v>2163245.4708480001</v>
      </c>
      <c r="I67" s="235">
        <f t="shared" si="55"/>
        <v>2336305.10851584</v>
      </c>
      <c r="J67" s="235">
        <f t="shared" si="55"/>
        <v>2523209.517197107</v>
      </c>
      <c r="K67" s="235">
        <f t="shared" si="55"/>
        <v>2725066.2785728755</v>
      </c>
      <c r="L67" s="235">
        <f t="shared" si="55"/>
        <v>2943071.5808587056</v>
      </c>
      <c r="M67" s="235">
        <f t="shared" si="55"/>
        <v>3178517.3073274023</v>
      </c>
      <c r="N67" s="235">
        <f t="shared" si="55"/>
        <v>3432798.6919135945</v>
      </c>
      <c r="O67" s="235">
        <f t="shared" si="55"/>
        <v>3707422.5872666822</v>
      </c>
      <c r="P67" s="235">
        <f t="shared" si="55"/>
        <v>4004016.3942480171</v>
      </c>
      <c r="Q67" s="235">
        <f t="shared" si="55"/>
        <v>4324337.705787858</v>
      </c>
      <c r="R67" s="235">
        <f t="shared" si="55"/>
        <v>4670284.7222508872</v>
      </c>
    </row>
    <row r="68" spans="1:18" s="235" customFormat="1" x14ac:dyDescent="0.3">
      <c r="A68" s="236" t="s">
        <v>136</v>
      </c>
      <c r="B68" s="236"/>
      <c r="C68" s="319"/>
      <c r="D68" s="235">
        <f t="shared" ref="D68:R68" si="56">D50*$D$29</f>
        <v>1594900</v>
      </c>
      <c r="E68" s="235">
        <f t="shared" si="56"/>
        <v>1722491.9999999998</v>
      </c>
      <c r="F68" s="235">
        <f t="shared" si="56"/>
        <v>1860291.3599999999</v>
      </c>
      <c r="G68" s="235">
        <f t="shared" si="56"/>
        <v>2009114.6688000001</v>
      </c>
      <c r="H68" s="235">
        <f t="shared" si="56"/>
        <v>2169843.8423039997</v>
      </c>
      <c r="I68" s="235">
        <f t="shared" si="56"/>
        <v>2343431.34968832</v>
      </c>
      <c r="J68" s="235">
        <f t="shared" si="56"/>
        <v>2530905.8576633856</v>
      </c>
      <c r="K68" s="235">
        <f t="shared" si="56"/>
        <v>2733378.326276456</v>
      </c>
      <c r="L68" s="235">
        <f t="shared" si="56"/>
        <v>2952048.5923785726</v>
      </c>
      <c r="M68" s="235">
        <f t="shared" si="56"/>
        <v>3188212.4797688588</v>
      </c>
      <c r="N68" s="235">
        <f t="shared" si="56"/>
        <v>3443269.4781503668</v>
      </c>
      <c r="O68" s="235">
        <f t="shared" si="56"/>
        <v>3718731.0364023964</v>
      </c>
      <c r="P68" s="235">
        <f t="shared" si="56"/>
        <v>4016229.519314588</v>
      </c>
      <c r="Q68" s="235">
        <f t="shared" si="56"/>
        <v>4337527.880859755</v>
      </c>
      <c r="R68" s="235">
        <f t="shared" si="56"/>
        <v>4684530.1113285348</v>
      </c>
    </row>
    <row r="69" spans="1:18" s="235" customFormat="1" x14ac:dyDescent="0.3">
      <c r="A69" s="236" t="s">
        <v>137</v>
      </c>
      <c r="B69" s="236"/>
      <c r="C69" s="319"/>
      <c r="D69" s="235">
        <f t="shared" ref="D69:R69" si="57">D51*$D$29</f>
        <v>1631600</v>
      </c>
      <c r="E69" s="235">
        <f t="shared" si="57"/>
        <v>1762128</v>
      </c>
      <c r="F69" s="235">
        <f t="shared" si="57"/>
        <v>1903098.2399999998</v>
      </c>
      <c r="G69" s="235">
        <f t="shared" si="57"/>
        <v>2055346.0991999996</v>
      </c>
      <c r="H69" s="235">
        <f t="shared" si="57"/>
        <v>2219773.7871359996</v>
      </c>
      <c r="I69" s="235">
        <f t="shared" si="57"/>
        <v>2397355.6901068799</v>
      </c>
      <c r="J69" s="235">
        <f t="shared" si="57"/>
        <v>2589144.1453154301</v>
      </c>
      <c r="K69" s="235">
        <f t="shared" si="57"/>
        <v>2796275.6769406646</v>
      </c>
      <c r="L69" s="235">
        <f t="shared" si="57"/>
        <v>3019977.7310959175</v>
      </c>
      <c r="M69" s="235">
        <f t="shared" si="57"/>
        <v>3261575.949583591</v>
      </c>
      <c r="N69" s="235">
        <f t="shared" si="57"/>
        <v>3522502.0255502788</v>
      </c>
      <c r="O69" s="235">
        <f t="shared" si="57"/>
        <v>3804302.1875943006</v>
      </c>
      <c r="P69" s="235">
        <f t="shared" si="57"/>
        <v>4108646.3626018451</v>
      </c>
      <c r="Q69" s="235">
        <f t="shared" si="57"/>
        <v>4437338.0716099925</v>
      </c>
      <c r="R69" s="235">
        <f t="shared" si="57"/>
        <v>4792325.1173387924</v>
      </c>
    </row>
    <row r="70" spans="1:18" s="235" customFormat="1" x14ac:dyDescent="0.3">
      <c r="A70" s="236" t="s">
        <v>138</v>
      </c>
      <c r="B70" s="236"/>
      <c r="C70" s="319"/>
      <c r="D70" s="235">
        <f t="shared" ref="D70:R70" si="58">D52*$D$29</f>
        <v>1636425</v>
      </c>
      <c r="E70" s="235">
        <f t="shared" si="58"/>
        <v>1767339</v>
      </c>
      <c r="F70" s="235">
        <f t="shared" si="58"/>
        <v>1908726.12</v>
      </c>
      <c r="G70" s="235">
        <f t="shared" si="58"/>
        <v>2061424.2096000002</v>
      </c>
      <c r="H70" s="235">
        <f t="shared" si="58"/>
        <v>2226338.1463680002</v>
      </c>
      <c r="I70" s="235">
        <f t="shared" si="58"/>
        <v>2404445.1980774398</v>
      </c>
      <c r="J70" s="235">
        <f t="shared" si="58"/>
        <v>2596800.8139236355</v>
      </c>
      <c r="K70" s="235">
        <f t="shared" si="58"/>
        <v>2804544.8790375264</v>
      </c>
      <c r="L70" s="235">
        <f t="shared" si="58"/>
        <v>3028908.4693605285</v>
      </c>
      <c r="M70" s="235">
        <f t="shared" si="58"/>
        <v>3271221.146909371</v>
      </c>
      <c r="N70" s="235">
        <f t="shared" si="58"/>
        <v>3532918.838662121</v>
      </c>
      <c r="O70" s="235">
        <f t="shared" si="58"/>
        <v>3815552.34575509</v>
      </c>
      <c r="P70" s="235">
        <f t="shared" si="58"/>
        <v>4120796.5334154973</v>
      </c>
      <c r="Q70" s="235">
        <f t="shared" si="58"/>
        <v>4450460.2560887365</v>
      </c>
      <c r="R70" s="235">
        <f t="shared" si="58"/>
        <v>4806497.0765758352</v>
      </c>
    </row>
    <row r="71" spans="1:18" s="236" customFormat="1" x14ac:dyDescent="0.3">
      <c r="C71" s="315"/>
    </row>
    <row r="72" spans="1:18" s="236" customFormat="1" x14ac:dyDescent="0.3">
      <c r="C72" s="315"/>
    </row>
    <row r="73" spans="1:18" s="235" customFormat="1" ht="15.6" x14ac:dyDescent="0.3">
      <c r="C73" s="317" t="s">
        <v>139</v>
      </c>
      <c r="D73" s="318">
        <v>30</v>
      </c>
    </row>
    <row r="74" spans="1:18" s="235" customFormat="1" x14ac:dyDescent="0.3">
      <c r="C74" s="319" t="s">
        <v>140</v>
      </c>
    </row>
    <row r="75" spans="1:18" s="235" customFormat="1" x14ac:dyDescent="0.3">
      <c r="A75" s="236" t="s">
        <v>134</v>
      </c>
      <c r="B75" s="236"/>
      <c r="C75" s="319"/>
      <c r="D75" s="235">
        <f>D48*$D$38</f>
        <v>850380</v>
      </c>
      <c r="E75" s="235">
        <f>E48*$D$38</f>
        <v>918410.4</v>
      </c>
      <c r="F75" s="235">
        <f t="shared" ref="F75:R75" si="59">F48*$D$38</f>
        <v>973515.02400000009</v>
      </c>
      <c r="G75" s="235">
        <f t="shared" si="59"/>
        <v>1022190.7752</v>
      </c>
      <c r="H75" s="235">
        <f t="shared" si="59"/>
        <v>1073300.3139600002</v>
      </c>
      <c r="I75" s="235">
        <f t="shared" si="59"/>
        <v>1126965.3296580003</v>
      </c>
      <c r="J75" s="235">
        <f t="shared" si="59"/>
        <v>1183313.5961409002</v>
      </c>
      <c r="K75" s="235">
        <f t="shared" si="59"/>
        <v>1242479.2759479452</v>
      </c>
      <c r="L75" s="235">
        <f t="shared" si="59"/>
        <v>1304603.2397453424</v>
      </c>
      <c r="M75" s="235">
        <f t="shared" si="59"/>
        <v>1369833.4017326096</v>
      </c>
      <c r="N75" s="235">
        <f t="shared" si="59"/>
        <v>1438325.07181924</v>
      </c>
      <c r="O75" s="235">
        <f t="shared" si="59"/>
        <v>1510241.3254102019</v>
      </c>
      <c r="P75" s="235">
        <f t="shared" si="59"/>
        <v>1585753.3916807119</v>
      </c>
      <c r="Q75" s="235">
        <f t="shared" si="59"/>
        <v>1665041.0612647475</v>
      </c>
      <c r="R75" s="235">
        <f t="shared" si="59"/>
        <v>1748293.1143279849</v>
      </c>
    </row>
    <row r="76" spans="1:18" s="235" customFormat="1" x14ac:dyDescent="0.3">
      <c r="A76" s="236" t="s">
        <v>135</v>
      </c>
      <c r="B76" s="236"/>
      <c r="C76" s="319"/>
      <c r="D76" s="235">
        <f t="shared" ref="D76:R76" si="60">D49*$D$38</f>
        <v>1908060</v>
      </c>
      <c r="E76" s="235">
        <f t="shared" si="60"/>
        <v>2060704.8</v>
      </c>
      <c r="F76" s="235">
        <f t="shared" si="60"/>
        <v>2225561.1839999999</v>
      </c>
      <c r="G76" s="235">
        <f t="shared" si="60"/>
        <v>2403606.0787200001</v>
      </c>
      <c r="H76" s="235">
        <f t="shared" si="60"/>
        <v>2595894.5650176001</v>
      </c>
      <c r="I76" s="235">
        <f t="shared" si="60"/>
        <v>2803566.1302190078</v>
      </c>
      <c r="J76" s="235">
        <f t="shared" si="60"/>
        <v>3027851.4206365286</v>
      </c>
      <c r="K76" s="235">
        <f t="shared" si="60"/>
        <v>3270079.5342874508</v>
      </c>
      <c r="L76" s="235">
        <f t="shared" si="60"/>
        <v>3531685.8970304471</v>
      </c>
      <c r="M76" s="235">
        <f t="shared" si="60"/>
        <v>3814220.7687928826</v>
      </c>
      <c r="N76" s="235">
        <f t="shared" si="60"/>
        <v>4119358.4302963135</v>
      </c>
      <c r="O76" s="235">
        <f t="shared" si="60"/>
        <v>4448907.1047200188</v>
      </c>
      <c r="P76" s="235">
        <f t="shared" si="60"/>
        <v>4804819.6730976198</v>
      </c>
      <c r="Q76" s="235">
        <f t="shared" si="60"/>
        <v>5189205.2469454305</v>
      </c>
      <c r="R76" s="235">
        <f t="shared" si="60"/>
        <v>5604341.6667010644</v>
      </c>
    </row>
    <row r="77" spans="1:18" s="235" customFormat="1" x14ac:dyDescent="0.3">
      <c r="A77" s="236" t="s">
        <v>136</v>
      </c>
      <c r="B77" s="236"/>
      <c r="C77" s="319"/>
      <c r="D77" s="235">
        <f t="shared" ref="D77:R77" si="61">D50*$D$38</f>
        <v>1913880</v>
      </c>
      <c r="E77" s="235">
        <f t="shared" si="61"/>
        <v>2066990.4</v>
      </c>
      <c r="F77" s="235">
        <f t="shared" si="61"/>
        <v>2232349.6320000002</v>
      </c>
      <c r="G77" s="235">
        <f t="shared" si="61"/>
        <v>2410937.60256</v>
      </c>
      <c r="H77" s="235">
        <f t="shared" si="61"/>
        <v>2603812.6107648001</v>
      </c>
      <c r="I77" s="235">
        <f t="shared" si="61"/>
        <v>2812117.6196259838</v>
      </c>
      <c r="J77" s="235">
        <f t="shared" si="61"/>
        <v>3037087.0291960626</v>
      </c>
      <c r="K77" s="235">
        <f t="shared" si="61"/>
        <v>3280053.9915317474</v>
      </c>
      <c r="L77" s="235">
        <f t="shared" si="61"/>
        <v>3542458.3108542874</v>
      </c>
      <c r="M77" s="235">
        <f t="shared" si="61"/>
        <v>3825854.9757226305</v>
      </c>
      <c r="N77" s="235">
        <f t="shared" si="61"/>
        <v>4131923.3737804405</v>
      </c>
      <c r="O77" s="235">
        <f t="shared" si="61"/>
        <v>4462477.2436828753</v>
      </c>
      <c r="P77" s="235">
        <f t="shared" si="61"/>
        <v>4819475.4231775058</v>
      </c>
      <c r="Q77" s="235">
        <f t="shared" si="61"/>
        <v>5205033.4570317054</v>
      </c>
      <c r="R77" s="235">
        <f t="shared" si="61"/>
        <v>5621436.1335942419</v>
      </c>
    </row>
    <row r="78" spans="1:18" s="235" customFormat="1" x14ac:dyDescent="0.3">
      <c r="A78" s="236" t="s">
        <v>137</v>
      </c>
      <c r="B78" s="236"/>
      <c r="C78" s="319"/>
      <c r="D78" s="235">
        <f t="shared" ref="D78:R78" si="62">D51*$D$38</f>
        <v>1957920</v>
      </c>
      <c r="E78" s="235">
        <f t="shared" si="62"/>
        <v>2114553.5999999996</v>
      </c>
      <c r="F78" s="235">
        <f t="shared" si="62"/>
        <v>2283717.8879999998</v>
      </c>
      <c r="G78" s="235">
        <f t="shared" si="62"/>
        <v>2466415.3190399995</v>
      </c>
      <c r="H78" s="235">
        <f t="shared" si="62"/>
        <v>2663728.5445631999</v>
      </c>
      <c r="I78" s="235">
        <f t="shared" si="62"/>
        <v>2876826.8281282559</v>
      </c>
      <c r="J78" s="235">
        <f t="shared" si="62"/>
        <v>3106972.974378516</v>
      </c>
      <c r="K78" s="235">
        <f t="shared" si="62"/>
        <v>3355530.8123287973</v>
      </c>
      <c r="L78" s="235">
        <f t="shared" si="62"/>
        <v>3623973.2773151011</v>
      </c>
      <c r="M78" s="235">
        <f t="shared" si="62"/>
        <v>3913891.1395003092</v>
      </c>
      <c r="N78" s="235">
        <f t="shared" si="62"/>
        <v>4227002.4306603344</v>
      </c>
      <c r="O78" s="235">
        <f t="shared" si="62"/>
        <v>4565162.6251131603</v>
      </c>
      <c r="P78" s="235">
        <f t="shared" si="62"/>
        <v>4930375.6351222135</v>
      </c>
      <c r="Q78" s="235">
        <f t="shared" si="62"/>
        <v>5324805.6859319918</v>
      </c>
      <c r="R78" s="235">
        <f t="shared" si="62"/>
        <v>5750790.1408065502</v>
      </c>
    </row>
    <row r="79" spans="1:18" s="235" customFormat="1" x14ac:dyDescent="0.3">
      <c r="A79" s="236" t="s">
        <v>138</v>
      </c>
      <c r="B79" s="236"/>
      <c r="C79" s="319"/>
      <c r="D79" s="235">
        <f t="shared" ref="D79:R79" si="63">D52*$D$38</f>
        <v>1963710</v>
      </c>
      <c r="E79" s="235">
        <f t="shared" si="63"/>
        <v>2120806.7999999998</v>
      </c>
      <c r="F79" s="235">
        <f t="shared" si="63"/>
        <v>2290471.344</v>
      </c>
      <c r="G79" s="235">
        <f t="shared" si="63"/>
        <v>2473709.0515200002</v>
      </c>
      <c r="H79" s="235">
        <f t="shared" si="63"/>
        <v>2671605.7756416001</v>
      </c>
      <c r="I79" s="235">
        <f t="shared" si="63"/>
        <v>2885334.2376929279</v>
      </c>
      <c r="J79" s="235">
        <f t="shared" si="63"/>
        <v>3116160.9767083623</v>
      </c>
      <c r="K79" s="235">
        <f t="shared" si="63"/>
        <v>3365453.8548450316</v>
      </c>
      <c r="L79" s="235">
        <f t="shared" si="63"/>
        <v>3634690.1632326338</v>
      </c>
      <c r="M79" s="235">
        <f t="shared" si="63"/>
        <v>3925465.3762912452</v>
      </c>
      <c r="N79" s="235">
        <f t="shared" si="63"/>
        <v>4239502.6063945452</v>
      </c>
      <c r="O79" s="235">
        <f t="shared" si="63"/>
        <v>4578662.8149061082</v>
      </c>
      <c r="P79" s="235">
        <f t="shared" si="63"/>
        <v>4944955.8400985962</v>
      </c>
      <c r="Q79" s="235">
        <f t="shared" si="63"/>
        <v>5340552.3073064843</v>
      </c>
      <c r="R79" s="235">
        <f t="shared" si="63"/>
        <v>5767796.4918910032</v>
      </c>
    </row>
    <row r="81" spans="1:18" s="28" customFormat="1" ht="28.8" x14ac:dyDescent="0.3">
      <c r="C81" s="60" t="s">
        <v>133</v>
      </c>
      <c r="D81" s="28">
        <v>0.02</v>
      </c>
      <c r="E81" s="28">
        <v>0.08</v>
      </c>
      <c r="F81" s="28">
        <v>0.06</v>
      </c>
      <c r="G81" s="28">
        <v>0.05</v>
      </c>
      <c r="H81" s="28">
        <v>0.05</v>
      </c>
      <c r="I81" s="28">
        <v>0.05</v>
      </c>
      <c r="J81" s="28">
        <v>0.05</v>
      </c>
      <c r="K81" s="28">
        <v>0.05</v>
      </c>
      <c r="L81" s="28">
        <v>0.05</v>
      </c>
      <c r="M81" s="28">
        <v>0.05</v>
      </c>
      <c r="N81" s="28">
        <v>0.05</v>
      </c>
      <c r="O81" s="28">
        <v>0.05</v>
      </c>
      <c r="P81" s="28">
        <v>0.05</v>
      </c>
      <c r="Q81" s="28">
        <v>0.05</v>
      </c>
      <c r="R81" s="28">
        <v>0.05</v>
      </c>
    </row>
    <row r="82" spans="1:18" s="7" customFormat="1" x14ac:dyDescent="0.3">
      <c r="D82" s="7" t="s">
        <v>118</v>
      </c>
      <c r="E82" s="7" t="s">
        <v>119</v>
      </c>
      <c r="F82" s="7" t="s">
        <v>120</v>
      </c>
      <c r="G82" s="7" t="s">
        <v>121</v>
      </c>
      <c r="H82" s="7" t="s">
        <v>122</v>
      </c>
      <c r="I82" s="7" t="s">
        <v>123</v>
      </c>
      <c r="J82" s="7" t="s">
        <v>124</v>
      </c>
      <c r="K82" s="7" t="s">
        <v>125</v>
      </c>
      <c r="L82" s="7" t="s">
        <v>126</v>
      </c>
      <c r="M82" s="7" t="s">
        <v>127</v>
      </c>
      <c r="N82" s="7" t="s">
        <v>128</v>
      </c>
      <c r="O82" s="7" t="s">
        <v>129</v>
      </c>
      <c r="P82" s="7" t="s">
        <v>130</v>
      </c>
      <c r="Q82" s="7" t="s">
        <v>131</v>
      </c>
      <c r="R82" s="7" t="s">
        <v>132</v>
      </c>
    </row>
    <row r="83" spans="1:18" x14ac:dyDescent="0.3">
      <c r="A83" t="s">
        <v>134</v>
      </c>
      <c r="C83" s="221">
        <v>28346</v>
      </c>
      <c r="D83" s="58">
        <f>C83 +(C83*$D$3)</f>
        <v>28346</v>
      </c>
      <c r="E83" s="58">
        <f>D83 +(D83*$E$3)</f>
        <v>30613.68</v>
      </c>
      <c r="F83" s="58">
        <f t="shared" ref="F83" si="64">E83 +(E83*F81)</f>
        <v>32450.500800000002</v>
      </c>
      <c r="G83" s="58">
        <f t="shared" ref="G83" si="65">F83 +(F83*G81)</f>
        <v>34073.025840000002</v>
      </c>
      <c r="H83" s="58">
        <f t="shared" ref="H83" si="66">G83 +(G83*H81)</f>
        <v>35776.677132000004</v>
      </c>
      <c r="I83" s="58">
        <f t="shared" ref="I83" si="67">H83 +(H83*I81)</f>
        <v>37565.510988600006</v>
      </c>
      <c r="J83" s="58">
        <f t="shared" ref="J83" si="68">I83 +(I83*J81)</f>
        <v>39443.786538030006</v>
      </c>
      <c r="K83" s="58">
        <f t="shared" ref="K83" si="69">J83 +(J83*K81)</f>
        <v>41415.975864931504</v>
      </c>
      <c r="L83" s="58">
        <f t="shared" ref="L83" si="70">K83 +(K83*L81)</f>
        <v>43486.774658178081</v>
      </c>
      <c r="M83" s="58">
        <f t="shared" ref="M83" si="71">L83 +(L83*M81)</f>
        <v>45661.113391086983</v>
      </c>
      <c r="N83" s="58">
        <f t="shared" ref="N83" si="72">M83 +(M83*N81)</f>
        <v>47944.169060641332</v>
      </c>
      <c r="O83" s="58">
        <f t="shared" ref="O83" si="73">N83 +(N83*O81)</f>
        <v>50341.377513673397</v>
      </c>
      <c r="P83" s="58">
        <f t="shared" ref="P83" si="74">O83 +(O83*P81)</f>
        <v>52858.446389357065</v>
      </c>
      <c r="Q83" s="58">
        <f t="shared" ref="Q83" si="75">P83 +(P83*Q81)</f>
        <v>55501.368708824921</v>
      </c>
      <c r="R83" s="58">
        <f t="shared" ref="R83" si="76">Q83 +(Q83*R81)</f>
        <v>58276.437144266165</v>
      </c>
    </row>
    <row r="84" spans="1:18" x14ac:dyDescent="0.3">
      <c r="A84" t="s">
        <v>135</v>
      </c>
      <c r="C84" s="221">
        <v>63602</v>
      </c>
      <c r="D84" s="58">
        <f t="shared" ref="D84:D87" si="77">C84 +(C84*$D$3)</f>
        <v>63602</v>
      </c>
      <c r="E84" s="58">
        <f t="shared" ref="E84:E87" si="78">D84 +(D84*$E$3)</f>
        <v>68690.16</v>
      </c>
      <c r="F84" s="58">
        <f t="shared" ref="F84:F87" si="79">E84 +(E84*$E$3)</f>
        <v>74185.372799999997</v>
      </c>
      <c r="G84" s="58">
        <f t="shared" ref="G84:G87" si="80">F84 +(F84*$E$3)</f>
        <v>80120.202623999998</v>
      </c>
      <c r="H84" s="58">
        <f t="shared" ref="H84:H87" si="81">G84 +(G84*$E$3)</f>
        <v>86529.818833919999</v>
      </c>
      <c r="I84" s="58">
        <f t="shared" ref="I84:I87" si="82">H84 +(H84*$E$3)</f>
        <v>93452.204340633602</v>
      </c>
      <c r="J84" s="58">
        <f t="shared" ref="J84:J87" si="83">I84 +(I84*$E$3)</f>
        <v>100928.38068788429</v>
      </c>
      <c r="K84" s="58">
        <f t="shared" ref="K84:K87" si="84">J84 +(J84*$E$3)</f>
        <v>109002.65114291503</v>
      </c>
      <c r="L84" s="58">
        <f t="shared" ref="L84:L87" si="85">K84 +(K84*$E$3)</f>
        <v>117722.86323434823</v>
      </c>
      <c r="M84" s="58">
        <f t="shared" ref="M84:M87" si="86">L84 +(L84*$E$3)</f>
        <v>127140.69229309609</v>
      </c>
      <c r="N84" s="58">
        <f t="shared" ref="N84:N87" si="87">M84 +(M84*$E$3)</f>
        <v>137311.94767654379</v>
      </c>
      <c r="O84" s="58">
        <f t="shared" ref="O84:O87" si="88">N84 +(N84*$E$3)</f>
        <v>148296.90349066729</v>
      </c>
      <c r="P84" s="58">
        <f t="shared" ref="P84:P87" si="89">O84 +(O84*$E$3)</f>
        <v>160160.65576992068</v>
      </c>
      <c r="Q84" s="58">
        <f t="shared" ref="Q84:Q87" si="90">P84 +(P84*$E$3)</f>
        <v>172973.50823151434</v>
      </c>
      <c r="R84" s="58">
        <f t="shared" ref="R84:R87" si="91">Q84 +(Q84*$E$3)</f>
        <v>186811.38889003548</v>
      </c>
    </row>
    <row r="85" spans="1:18" x14ac:dyDescent="0.3">
      <c r="A85" t="s">
        <v>136</v>
      </c>
      <c r="C85" s="221">
        <v>63796</v>
      </c>
      <c r="D85" s="58">
        <f t="shared" si="77"/>
        <v>63796</v>
      </c>
      <c r="E85" s="58">
        <f t="shared" si="78"/>
        <v>68899.679999999993</v>
      </c>
      <c r="F85" s="58">
        <f t="shared" si="79"/>
        <v>74411.654399999999</v>
      </c>
      <c r="G85" s="58">
        <f t="shared" si="80"/>
        <v>80364.586752000003</v>
      </c>
      <c r="H85" s="58">
        <f t="shared" si="81"/>
        <v>86793.753692159997</v>
      </c>
      <c r="I85" s="58">
        <f t="shared" si="82"/>
        <v>93737.253987532793</v>
      </c>
      <c r="J85" s="58">
        <f t="shared" si="83"/>
        <v>101236.23430653542</v>
      </c>
      <c r="K85" s="58">
        <f t="shared" si="84"/>
        <v>109335.13305105825</v>
      </c>
      <c r="L85" s="58">
        <f t="shared" si="85"/>
        <v>118081.94369514291</v>
      </c>
      <c r="M85" s="58">
        <f t="shared" si="86"/>
        <v>127528.49919075434</v>
      </c>
      <c r="N85" s="58">
        <f t="shared" si="87"/>
        <v>137730.77912601468</v>
      </c>
      <c r="O85" s="58">
        <f t="shared" si="88"/>
        <v>148749.24145609586</v>
      </c>
      <c r="P85" s="58">
        <f t="shared" si="89"/>
        <v>160649.18077258352</v>
      </c>
      <c r="Q85" s="58">
        <f t="shared" si="90"/>
        <v>173501.11523439019</v>
      </c>
      <c r="R85" s="58">
        <f t="shared" si="91"/>
        <v>187381.2044531414</v>
      </c>
    </row>
    <row r="86" spans="1:18" x14ac:dyDescent="0.3">
      <c r="A86" t="s">
        <v>137</v>
      </c>
      <c r="C86" s="221">
        <v>65264</v>
      </c>
      <c r="D86" s="58">
        <f t="shared" si="77"/>
        <v>65264</v>
      </c>
      <c r="E86" s="58">
        <f t="shared" si="78"/>
        <v>70485.119999999995</v>
      </c>
      <c r="F86" s="58">
        <f t="shared" si="79"/>
        <v>76123.929599999989</v>
      </c>
      <c r="G86" s="58">
        <f t="shared" si="80"/>
        <v>82213.843967999986</v>
      </c>
      <c r="H86" s="58">
        <f t="shared" si="81"/>
        <v>88790.951485439989</v>
      </c>
      <c r="I86" s="58">
        <f t="shared" si="82"/>
        <v>95894.227604275191</v>
      </c>
      <c r="J86" s="58">
        <f t="shared" si="83"/>
        <v>103565.7658126172</v>
      </c>
      <c r="K86" s="58">
        <f t="shared" si="84"/>
        <v>111851.02707762658</v>
      </c>
      <c r="L86" s="58">
        <f t="shared" si="85"/>
        <v>120799.1092438367</v>
      </c>
      <c r="M86" s="58">
        <f t="shared" si="86"/>
        <v>130463.03798334365</v>
      </c>
      <c r="N86" s="58">
        <f t="shared" si="87"/>
        <v>140900.08102201115</v>
      </c>
      <c r="O86" s="58">
        <f t="shared" si="88"/>
        <v>152172.08750377203</v>
      </c>
      <c r="P86" s="58">
        <f t="shared" si="89"/>
        <v>164345.8545040738</v>
      </c>
      <c r="Q86" s="58">
        <f t="shared" si="90"/>
        <v>177493.52286439971</v>
      </c>
      <c r="R86" s="58">
        <f t="shared" si="91"/>
        <v>191693.00469355169</v>
      </c>
    </row>
    <row r="87" spans="1:18" x14ac:dyDescent="0.3">
      <c r="A87" t="s">
        <v>138</v>
      </c>
      <c r="C87" s="221">
        <v>65457</v>
      </c>
      <c r="D87" s="58">
        <f t="shared" si="77"/>
        <v>65457</v>
      </c>
      <c r="E87" s="58">
        <f t="shared" si="78"/>
        <v>70693.56</v>
      </c>
      <c r="F87" s="58">
        <f t="shared" si="79"/>
        <v>76349.044800000003</v>
      </c>
      <c r="G87" s="58">
        <f t="shared" si="80"/>
        <v>82456.968384000007</v>
      </c>
      <c r="H87" s="58">
        <f t="shared" si="81"/>
        <v>89053.525854720006</v>
      </c>
      <c r="I87" s="58">
        <f t="shared" si="82"/>
        <v>96177.8079230976</v>
      </c>
      <c r="J87" s="58">
        <f t="shared" si="83"/>
        <v>103872.03255694541</v>
      </c>
      <c r="K87" s="58">
        <f t="shared" si="84"/>
        <v>112181.79516150105</v>
      </c>
      <c r="L87" s="58">
        <f t="shared" si="85"/>
        <v>121156.33877442114</v>
      </c>
      <c r="M87" s="58">
        <f t="shared" si="86"/>
        <v>130848.84587637483</v>
      </c>
      <c r="N87" s="58">
        <f t="shared" si="87"/>
        <v>141316.75354648483</v>
      </c>
      <c r="O87" s="58">
        <f t="shared" si="88"/>
        <v>152622.09383020361</v>
      </c>
      <c r="P87" s="58">
        <f t="shared" si="89"/>
        <v>164831.86133661988</v>
      </c>
      <c r="Q87" s="58">
        <f t="shared" si="90"/>
        <v>178018.41024354947</v>
      </c>
      <c r="R87" s="58">
        <f t="shared" si="91"/>
        <v>192259.88306303343</v>
      </c>
    </row>
    <row r="88" spans="1:18" x14ac:dyDescent="0.3">
      <c r="C88" s="221"/>
    </row>
    <row r="89" spans="1:18" x14ac:dyDescent="0.3">
      <c r="C89" s="221"/>
    </row>
    <row r="90" spans="1:18" s="2" customFormat="1" ht="15.6" x14ac:dyDescent="0.3">
      <c r="C90" s="68" t="s">
        <v>139</v>
      </c>
      <c r="D90" s="69">
        <v>20</v>
      </c>
    </row>
    <row r="91" spans="1:18" s="2" customFormat="1" x14ac:dyDescent="0.3">
      <c r="C91" s="59" t="s">
        <v>140</v>
      </c>
    </row>
    <row r="92" spans="1:18" s="2" customFormat="1" x14ac:dyDescent="0.3">
      <c r="A92" t="s">
        <v>134</v>
      </c>
      <c r="B92"/>
      <c r="C92" s="59"/>
      <c r="D92" s="2">
        <f>D83*$D$20</f>
        <v>566920</v>
      </c>
      <c r="E92" s="2">
        <f t="shared" ref="E92:R92" si="92">E83*$D$20</f>
        <v>612273.6</v>
      </c>
      <c r="F92" s="2">
        <f t="shared" si="92"/>
        <v>649010.01600000006</v>
      </c>
      <c r="G92" s="2">
        <f t="shared" si="92"/>
        <v>681460.5168000001</v>
      </c>
      <c r="H92" s="2">
        <f t="shared" si="92"/>
        <v>715533.54264000012</v>
      </c>
      <c r="I92" s="2">
        <f t="shared" si="92"/>
        <v>751310.2197720001</v>
      </c>
      <c r="J92" s="2">
        <f t="shared" si="92"/>
        <v>788875.73076060019</v>
      </c>
      <c r="K92" s="2">
        <f t="shared" si="92"/>
        <v>828319.51729863009</v>
      </c>
      <c r="L92" s="2">
        <f t="shared" si="92"/>
        <v>869735.49316356168</v>
      </c>
      <c r="M92" s="2">
        <f t="shared" si="92"/>
        <v>913222.26782173966</v>
      </c>
      <c r="N92" s="2">
        <f t="shared" si="92"/>
        <v>958883.38121282659</v>
      </c>
      <c r="O92" s="2">
        <f t="shared" si="92"/>
        <v>1006827.5502734679</v>
      </c>
      <c r="P92" s="2">
        <f t="shared" si="92"/>
        <v>1057168.9277871414</v>
      </c>
      <c r="Q92" s="2">
        <f t="shared" si="92"/>
        <v>1110027.3741764985</v>
      </c>
      <c r="R92" s="2">
        <f t="shared" si="92"/>
        <v>1165528.7428853232</v>
      </c>
    </row>
    <row r="93" spans="1:18" s="2" customFormat="1" x14ac:dyDescent="0.3">
      <c r="A93" t="s">
        <v>135</v>
      </c>
      <c r="B93"/>
      <c r="C93" s="59"/>
      <c r="D93" s="2">
        <f t="shared" ref="D93:R93" si="93">D84*$D$20</f>
        <v>1272040</v>
      </c>
      <c r="E93" s="2">
        <f t="shared" si="93"/>
        <v>1373803.2000000002</v>
      </c>
      <c r="F93" s="2">
        <f t="shared" si="93"/>
        <v>1483707.456</v>
      </c>
      <c r="G93" s="2">
        <f t="shared" si="93"/>
        <v>1602404.0524800001</v>
      </c>
      <c r="H93" s="2">
        <f t="shared" si="93"/>
        <v>1730596.3766784</v>
      </c>
      <c r="I93" s="2">
        <f t="shared" si="93"/>
        <v>1869044.086812672</v>
      </c>
      <c r="J93" s="2">
        <f t="shared" si="93"/>
        <v>2018567.6137576858</v>
      </c>
      <c r="K93" s="2">
        <f t="shared" si="93"/>
        <v>2180053.0228583007</v>
      </c>
      <c r="L93" s="2">
        <f t="shared" si="93"/>
        <v>2354457.2646869645</v>
      </c>
      <c r="M93" s="2">
        <f t="shared" si="93"/>
        <v>2542813.8458619216</v>
      </c>
      <c r="N93" s="2">
        <f t="shared" si="93"/>
        <v>2746238.953530876</v>
      </c>
      <c r="O93" s="2">
        <f t="shared" si="93"/>
        <v>2965938.0698133456</v>
      </c>
      <c r="P93" s="2">
        <f t="shared" si="93"/>
        <v>3203213.1153984135</v>
      </c>
      <c r="Q93" s="2">
        <f t="shared" si="93"/>
        <v>3459470.1646302869</v>
      </c>
      <c r="R93" s="2">
        <f t="shared" si="93"/>
        <v>3736227.7778007095</v>
      </c>
    </row>
    <row r="94" spans="1:18" s="2" customFormat="1" x14ac:dyDescent="0.3">
      <c r="A94" t="s">
        <v>136</v>
      </c>
      <c r="B94"/>
      <c r="C94" s="59"/>
      <c r="D94" s="2">
        <f t="shared" ref="D94:R94" si="94">D85*$D$20</f>
        <v>1275920</v>
      </c>
      <c r="E94" s="2">
        <f t="shared" si="94"/>
        <v>1377993.5999999999</v>
      </c>
      <c r="F94" s="2">
        <f t="shared" si="94"/>
        <v>1488233.088</v>
      </c>
      <c r="G94" s="2">
        <f t="shared" si="94"/>
        <v>1607291.7350400002</v>
      </c>
      <c r="H94" s="2">
        <f t="shared" si="94"/>
        <v>1735875.0738432</v>
      </c>
      <c r="I94" s="2">
        <f t="shared" si="94"/>
        <v>1874745.0797506559</v>
      </c>
      <c r="J94" s="2">
        <f t="shared" si="94"/>
        <v>2024724.6861307085</v>
      </c>
      <c r="K94" s="2">
        <f t="shared" si="94"/>
        <v>2186702.6610211651</v>
      </c>
      <c r="L94" s="2">
        <f t="shared" si="94"/>
        <v>2361638.8739028582</v>
      </c>
      <c r="M94" s="2">
        <f t="shared" si="94"/>
        <v>2550569.983815087</v>
      </c>
      <c r="N94" s="2">
        <f t="shared" si="94"/>
        <v>2754615.5825202935</v>
      </c>
      <c r="O94" s="2">
        <f t="shared" si="94"/>
        <v>2974984.829121917</v>
      </c>
      <c r="P94" s="2">
        <f t="shared" si="94"/>
        <v>3212983.6154516703</v>
      </c>
      <c r="Q94" s="2">
        <f t="shared" si="94"/>
        <v>3470022.3046878036</v>
      </c>
      <c r="R94" s="2">
        <f t="shared" si="94"/>
        <v>3747624.0890628281</v>
      </c>
    </row>
    <row r="95" spans="1:18" s="2" customFormat="1" x14ac:dyDescent="0.3">
      <c r="A95" t="s">
        <v>137</v>
      </c>
      <c r="B95"/>
      <c r="C95" s="59"/>
      <c r="D95" s="2">
        <f t="shared" ref="D95:R95" si="95">D86*$D$20</f>
        <v>1305280</v>
      </c>
      <c r="E95" s="2">
        <f t="shared" si="95"/>
        <v>1409702.4</v>
      </c>
      <c r="F95" s="2">
        <f t="shared" si="95"/>
        <v>1522478.5919999997</v>
      </c>
      <c r="G95" s="2">
        <f t="shared" si="95"/>
        <v>1644276.8793599997</v>
      </c>
      <c r="H95" s="2">
        <f t="shared" si="95"/>
        <v>1775819.0297087999</v>
      </c>
      <c r="I95" s="2">
        <f t="shared" si="95"/>
        <v>1917884.5520855039</v>
      </c>
      <c r="J95" s="2">
        <f t="shared" si="95"/>
        <v>2071315.3162523441</v>
      </c>
      <c r="K95" s="2">
        <f t="shared" si="95"/>
        <v>2237020.5415525315</v>
      </c>
      <c r="L95" s="2">
        <f t="shared" si="95"/>
        <v>2415982.1848767339</v>
      </c>
      <c r="M95" s="2">
        <f t="shared" si="95"/>
        <v>2609260.7596668731</v>
      </c>
      <c r="N95" s="2">
        <f t="shared" si="95"/>
        <v>2818001.6204402228</v>
      </c>
      <c r="O95" s="2">
        <f t="shared" si="95"/>
        <v>3043441.7500754404</v>
      </c>
      <c r="P95" s="2">
        <f t="shared" si="95"/>
        <v>3286917.0900814757</v>
      </c>
      <c r="Q95" s="2">
        <f t="shared" si="95"/>
        <v>3549870.4572879942</v>
      </c>
      <c r="R95" s="2">
        <f t="shared" si="95"/>
        <v>3833860.0938710338</v>
      </c>
    </row>
    <row r="96" spans="1:18" s="2" customFormat="1" x14ac:dyDescent="0.3">
      <c r="A96" t="s">
        <v>138</v>
      </c>
      <c r="B96"/>
      <c r="C96" s="59"/>
      <c r="D96" s="2">
        <f t="shared" ref="D96:R96" si="96">D87*$D$20</f>
        <v>1309140</v>
      </c>
      <c r="E96" s="2">
        <f t="shared" si="96"/>
        <v>1413871.2</v>
      </c>
      <c r="F96" s="2">
        <f t="shared" si="96"/>
        <v>1526980.8960000002</v>
      </c>
      <c r="G96" s="2">
        <f t="shared" si="96"/>
        <v>1649139.3676800001</v>
      </c>
      <c r="H96" s="2">
        <f t="shared" si="96"/>
        <v>1781070.5170944002</v>
      </c>
      <c r="I96" s="2">
        <f t="shared" si="96"/>
        <v>1923556.1584619521</v>
      </c>
      <c r="J96" s="2">
        <f t="shared" si="96"/>
        <v>2077440.6511389082</v>
      </c>
      <c r="K96" s="2">
        <f t="shared" si="96"/>
        <v>2243635.9032300212</v>
      </c>
      <c r="L96" s="2">
        <f t="shared" si="96"/>
        <v>2423126.7754884227</v>
      </c>
      <c r="M96" s="2">
        <f t="shared" si="96"/>
        <v>2616976.9175274968</v>
      </c>
      <c r="N96" s="2">
        <f t="shared" si="96"/>
        <v>2826335.0709296968</v>
      </c>
      <c r="O96" s="2">
        <f t="shared" si="96"/>
        <v>3052441.8766040723</v>
      </c>
      <c r="P96" s="2">
        <f t="shared" si="96"/>
        <v>3296637.2267323975</v>
      </c>
      <c r="Q96" s="2">
        <f t="shared" si="96"/>
        <v>3560368.2048709895</v>
      </c>
      <c r="R96" s="2">
        <f t="shared" si="96"/>
        <v>3845197.6612606687</v>
      </c>
    </row>
    <row r="97" spans="1:18" x14ac:dyDescent="0.3">
      <c r="C97" s="221"/>
    </row>
    <row r="98" spans="1:18" x14ac:dyDescent="0.3">
      <c r="C98" s="221"/>
    </row>
    <row r="99" spans="1:18" s="2" customFormat="1" ht="15.6" x14ac:dyDescent="0.3">
      <c r="C99" s="68" t="s">
        <v>139</v>
      </c>
      <c r="D99" s="69">
        <v>25</v>
      </c>
    </row>
    <row r="100" spans="1:18" s="2" customFormat="1" x14ac:dyDescent="0.3">
      <c r="C100" s="59" t="s">
        <v>140</v>
      </c>
    </row>
    <row r="101" spans="1:18" s="2" customFormat="1" x14ac:dyDescent="0.3">
      <c r="A101" t="s">
        <v>134</v>
      </c>
      <c r="B101"/>
      <c r="C101" s="59"/>
      <c r="D101" s="2">
        <f>D83*$D$29</f>
        <v>708650</v>
      </c>
      <c r="E101" s="2">
        <f t="shared" ref="E101:R101" si="97">E83*$D$29</f>
        <v>765342</v>
      </c>
      <c r="F101" s="2">
        <f t="shared" si="97"/>
        <v>811262.52</v>
      </c>
      <c r="G101" s="2">
        <f t="shared" si="97"/>
        <v>851825.64600000007</v>
      </c>
      <c r="H101" s="2">
        <f t="shared" si="97"/>
        <v>894416.92830000015</v>
      </c>
      <c r="I101" s="2">
        <f t="shared" si="97"/>
        <v>939137.77471500018</v>
      </c>
      <c r="J101" s="2">
        <f t="shared" si="97"/>
        <v>986094.66345075017</v>
      </c>
      <c r="K101" s="2">
        <f t="shared" si="97"/>
        <v>1035399.3966232876</v>
      </c>
      <c r="L101" s="2">
        <f t="shared" si="97"/>
        <v>1087169.366454452</v>
      </c>
      <c r="M101" s="2">
        <f t="shared" si="97"/>
        <v>1141527.8347771745</v>
      </c>
      <c r="N101" s="2">
        <f t="shared" si="97"/>
        <v>1198604.2265160333</v>
      </c>
      <c r="O101" s="2">
        <f t="shared" si="97"/>
        <v>1258534.437841835</v>
      </c>
      <c r="P101" s="2">
        <f t="shared" si="97"/>
        <v>1321461.1597339266</v>
      </c>
      <c r="Q101" s="2">
        <f t="shared" si="97"/>
        <v>1387534.2177206231</v>
      </c>
      <c r="R101" s="2">
        <f t="shared" si="97"/>
        <v>1456910.9286066541</v>
      </c>
    </row>
    <row r="102" spans="1:18" s="2" customFormat="1" x14ac:dyDescent="0.3">
      <c r="A102" t="s">
        <v>135</v>
      </c>
      <c r="B102"/>
      <c r="C102" s="59"/>
      <c r="D102" s="2">
        <f t="shared" ref="D102:R102" si="98">D84*$D$29</f>
        <v>1590050</v>
      </c>
      <c r="E102" s="2">
        <f t="shared" si="98"/>
        <v>1717254</v>
      </c>
      <c r="F102" s="2">
        <f t="shared" si="98"/>
        <v>1854634.3199999998</v>
      </c>
      <c r="G102" s="2">
        <f t="shared" si="98"/>
        <v>2003005.0655999999</v>
      </c>
      <c r="H102" s="2">
        <f t="shared" si="98"/>
        <v>2163245.4708480001</v>
      </c>
      <c r="I102" s="2">
        <f t="shared" si="98"/>
        <v>2336305.10851584</v>
      </c>
      <c r="J102" s="2">
        <f t="shared" si="98"/>
        <v>2523209.517197107</v>
      </c>
      <c r="K102" s="2">
        <f t="shared" si="98"/>
        <v>2725066.2785728755</v>
      </c>
      <c r="L102" s="2">
        <f t="shared" si="98"/>
        <v>2943071.5808587056</v>
      </c>
      <c r="M102" s="2">
        <f t="shared" si="98"/>
        <v>3178517.3073274023</v>
      </c>
      <c r="N102" s="2">
        <f t="shared" si="98"/>
        <v>3432798.6919135945</v>
      </c>
      <c r="O102" s="2">
        <f t="shared" si="98"/>
        <v>3707422.5872666822</v>
      </c>
      <c r="P102" s="2">
        <f t="shared" si="98"/>
        <v>4004016.3942480171</v>
      </c>
      <c r="Q102" s="2">
        <f t="shared" si="98"/>
        <v>4324337.705787858</v>
      </c>
      <c r="R102" s="2">
        <f t="shared" si="98"/>
        <v>4670284.7222508872</v>
      </c>
    </row>
    <row r="103" spans="1:18" s="2" customFormat="1" x14ac:dyDescent="0.3">
      <c r="A103" t="s">
        <v>136</v>
      </c>
      <c r="B103"/>
      <c r="C103" s="59"/>
      <c r="D103" s="2">
        <f t="shared" ref="D103:R103" si="99">D85*$D$29</f>
        <v>1594900</v>
      </c>
      <c r="E103" s="2">
        <f t="shared" si="99"/>
        <v>1722491.9999999998</v>
      </c>
      <c r="F103" s="2">
        <f t="shared" si="99"/>
        <v>1860291.3599999999</v>
      </c>
      <c r="G103" s="2">
        <f t="shared" si="99"/>
        <v>2009114.6688000001</v>
      </c>
      <c r="H103" s="2">
        <f t="shared" si="99"/>
        <v>2169843.8423039997</v>
      </c>
      <c r="I103" s="2">
        <f t="shared" si="99"/>
        <v>2343431.34968832</v>
      </c>
      <c r="J103" s="2">
        <f t="shared" si="99"/>
        <v>2530905.8576633856</v>
      </c>
      <c r="K103" s="2">
        <f t="shared" si="99"/>
        <v>2733378.326276456</v>
      </c>
      <c r="L103" s="2">
        <f t="shared" si="99"/>
        <v>2952048.5923785726</v>
      </c>
      <c r="M103" s="2">
        <f t="shared" si="99"/>
        <v>3188212.4797688588</v>
      </c>
      <c r="N103" s="2">
        <f t="shared" si="99"/>
        <v>3443269.4781503668</v>
      </c>
      <c r="O103" s="2">
        <f t="shared" si="99"/>
        <v>3718731.0364023964</v>
      </c>
      <c r="P103" s="2">
        <f t="shared" si="99"/>
        <v>4016229.519314588</v>
      </c>
      <c r="Q103" s="2">
        <f t="shared" si="99"/>
        <v>4337527.880859755</v>
      </c>
      <c r="R103" s="2">
        <f t="shared" si="99"/>
        <v>4684530.1113285348</v>
      </c>
    </row>
    <row r="104" spans="1:18" s="2" customFormat="1" x14ac:dyDescent="0.3">
      <c r="A104" t="s">
        <v>137</v>
      </c>
      <c r="B104"/>
      <c r="C104" s="59"/>
      <c r="D104" s="2">
        <f t="shared" ref="D104:R104" si="100">D86*$D$29</f>
        <v>1631600</v>
      </c>
      <c r="E104" s="2">
        <f t="shared" si="100"/>
        <v>1762128</v>
      </c>
      <c r="F104" s="2">
        <f t="shared" si="100"/>
        <v>1903098.2399999998</v>
      </c>
      <c r="G104" s="2">
        <f t="shared" si="100"/>
        <v>2055346.0991999996</v>
      </c>
      <c r="H104" s="2">
        <f t="shared" si="100"/>
        <v>2219773.7871359996</v>
      </c>
      <c r="I104" s="2">
        <f t="shared" si="100"/>
        <v>2397355.6901068799</v>
      </c>
      <c r="J104" s="2">
        <f t="shared" si="100"/>
        <v>2589144.1453154301</v>
      </c>
      <c r="K104" s="2">
        <f t="shared" si="100"/>
        <v>2796275.6769406646</v>
      </c>
      <c r="L104" s="2">
        <f t="shared" si="100"/>
        <v>3019977.7310959175</v>
      </c>
      <c r="M104" s="2">
        <f t="shared" si="100"/>
        <v>3261575.949583591</v>
      </c>
      <c r="N104" s="2">
        <f t="shared" si="100"/>
        <v>3522502.0255502788</v>
      </c>
      <c r="O104" s="2">
        <f t="shared" si="100"/>
        <v>3804302.1875943006</v>
      </c>
      <c r="P104" s="2">
        <f t="shared" si="100"/>
        <v>4108646.3626018451</v>
      </c>
      <c r="Q104" s="2">
        <f t="shared" si="100"/>
        <v>4437338.0716099925</v>
      </c>
      <c r="R104" s="2">
        <f t="shared" si="100"/>
        <v>4792325.1173387924</v>
      </c>
    </row>
    <row r="105" spans="1:18" s="2" customFormat="1" x14ac:dyDescent="0.3">
      <c r="A105" t="s">
        <v>138</v>
      </c>
      <c r="B105"/>
      <c r="C105" s="59"/>
      <c r="D105" s="2">
        <f t="shared" ref="D105:R105" si="101">D87*$D$29</f>
        <v>1636425</v>
      </c>
      <c r="E105" s="2">
        <f t="shared" si="101"/>
        <v>1767339</v>
      </c>
      <c r="F105" s="2">
        <f t="shared" si="101"/>
        <v>1908726.12</v>
      </c>
      <c r="G105" s="2">
        <f t="shared" si="101"/>
        <v>2061424.2096000002</v>
      </c>
      <c r="H105" s="2">
        <f t="shared" si="101"/>
        <v>2226338.1463680002</v>
      </c>
      <c r="I105" s="2">
        <f t="shared" si="101"/>
        <v>2404445.1980774398</v>
      </c>
      <c r="J105" s="2">
        <f t="shared" si="101"/>
        <v>2596800.8139236355</v>
      </c>
      <c r="K105" s="2">
        <f t="shared" si="101"/>
        <v>2804544.8790375264</v>
      </c>
      <c r="L105" s="2">
        <f t="shared" si="101"/>
        <v>3028908.4693605285</v>
      </c>
      <c r="M105" s="2">
        <f t="shared" si="101"/>
        <v>3271221.146909371</v>
      </c>
      <c r="N105" s="2">
        <f t="shared" si="101"/>
        <v>3532918.838662121</v>
      </c>
      <c r="O105" s="2">
        <f t="shared" si="101"/>
        <v>3815552.34575509</v>
      </c>
      <c r="P105" s="2">
        <f t="shared" si="101"/>
        <v>4120796.5334154973</v>
      </c>
      <c r="Q105" s="2">
        <f t="shared" si="101"/>
        <v>4450460.2560887365</v>
      </c>
      <c r="R105" s="2">
        <f t="shared" si="101"/>
        <v>4806497.0765758352</v>
      </c>
    </row>
    <row r="106" spans="1:18" x14ac:dyDescent="0.3">
      <c r="C106" s="221"/>
    </row>
    <row r="107" spans="1:18" x14ac:dyDescent="0.3">
      <c r="C107" s="221"/>
    </row>
    <row r="108" spans="1:18" s="2" customFormat="1" ht="15.6" x14ac:dyDescent="0.3">
      <c r="C108" s="68" t="s">
        <v>139</v>
      </c>
      <c r="D108" s="69">
        <v>30</v>
      </c>
    </row>
    <row r="109" spans="1:18" s="2" customFormat="1" x14ac:dyDescent="0.3">
      <c r="C109" s="59" t="s">
        <v>140</v>
      </c>
    </row>
    <row r="110" spans="1:18" s="2" customFormat="1" x14ac:dyDescent="0.3">
      <c r="A110" t="s">
        <v>134</v>
      </c>
      <c r="B110"/>
      <c r="C110" s="59"/>
      <c r="D110" s="2">
        <f>D83*$D$38</f>
        <v>850380</v>
      </c>
      <c r="E110" s="2">
        <f>E83*$D$38</f>
        <v>918410.4</v>
      </c>
      <c r="F110" s="2">
        <f t="shared" ref="F110:R110" si="102">F83*$D$38</f>
        <v>973515.02400000009</v>
      </c>
      <c r="G110" s="2">
        <f t="shared" si="102"/>
        <v>1022190.7752</v>
      </c>
      <c r="H110" s="2">
        <f t="shared" si="102"/>
        <v>1073300.3139600002</v>
      </c>
      <c r="I110" s="2">
        <f t="shared" si="102"/>
        <v>1126965.3296580003</v>
      </c>
      <c r="J110" s="2">
        <f t="shared" si="102"/>
        <v>1183313.5961409002</v>
      </c>
      <c r="K110" s="2">
        <f t="shared" si="102"/>
        <v>1242479.2759479452</v>
      </c>
      <c r="L110" s="2">
        <f t="shared" si="102"/>
        <v>1304603.2397453424</v>
      </c>
      <c r="M110" s="2">
        <f t="shared" si="102"/>
        <v>1369833.4017326096</v>
      </c>
      <c r="N110" s="2">
        <f t="shared" si="102"/>
        <v>1438325.07181924</v>
      </c>
      <c r="O110" s="2">
        <f t="shared" si="102"/>
        <v>1510241.3254102019</v>
      </c>
      <c r="P110" s="2">
        <f t="shared" si="102"/>
        <v>1585753.3916807119</v>
      </c>
      <c r="Q110" s="2">
        <f t="shared" si="102"/>
        <v>1665041.0612647475</v>
      </c>
      <c r="R110" s="2">
        <f t="shared" si="102"/>
        <v>1748293.1143279849</v>
      </c>
    </row>
    <row r="111" spans="1:18" s="2" customFormat="1" x14ac:dyDescent="0.3">
      <c r="A111" t="s">
        <v>135</v>
      </c>
      <c r="B111"/>
      <c r="C111" s="59"/>
      <c r="D111" s="2">
        <f t="shared" ref="D111:R111" si="103">D84*$D$38</f>
        <v>1908060</v>
      </c>
      <c r="E111" s="2">
        <f t="shared" si="103"/>
        <v>2060704.8</v>
      </c>
      <c r="F111" s="2">
        <f t="shared" si="103"/>
        <v>2225561.1839999999</v>
      </c>
      <c r="G111" s="2">
        <f t="shared" si="103"/>
        <v>2403606.0787200001</v>
      </c>
      <c r="H111" s="2">
        <f t="shared" si="103"/>
        <v>2595894.5650176001</v>
      </c>
      <c r="I111" s="2">
        <f t="shared" si="103"/>
        <v>2803566.1302190078</v>
      </c>
      <c r="J111" s="2">
        <f t="shared" si="103"/>
        <v>3027851.4206365286</v>
      </c>
      <c r="K111" s="2">
        <f t="shared" si="103"/>
        <v>3270079.5342874508</v>
      </c>
      <c r="L111" s="2">
        <f t="shared" si="103"/>
        <v>3531685.8970304471</v>
      </c>
      <c r="M111" s="2">
        <f t="shared" si="103"/>
        <v>3814220.7687928826</v>
      </c>
      <c r="N111" s="2">
        <f t="shared" si="103"/>
        <v>4119358.4302963135</v>
      </c>
      <c r="O111" s="2">
        <f t="shared" si="103"/>
        <v>4448907.1047200188</v>
      </c>
      <c r="P111" s="2">
        <f t="shared" si="103"/>
        <v>4804819.6730976198</v>
      </c>
      <c r="Q111" s="2">
        <f t="shared" si="103"/>
        <v>5189205.2469454305</v>
      </c>
      <c r="R111" s="2">
        <f t="shared" si="103"/>
        <v>5604341.6667010644</v>
      </c>
    </row>
    <row r="112" spans="1:18" s="2" customFormat="1" x14ac:dyDescent="0.3">
      <c r="A112" t="s">
        <v>136</v>
      </c>
      <c r="B112"/>
      <c r="C112" s="59"/>
      <c r="D112" s="2">
        <f t="shared" ref="D112:R112" si="104">D85*$D$38</f>
        <v>1913880</v>
      </c>
      <c r="E112" s="2">
        <f t="shared" si="104"/>
        <v>2066990.4</v>
      </c>
      <c r="F112" s="2">
        <f t="shared" si="104"/>
        <v>2232349.6320000002</v>
      </c>
      <c r="G112" s="2">
        <f t="shared" si="104"/>
        <v>2410937.60256</v>
      </c>
      <c r="H112" s="2">
        <f t="shared" si="104"/>
        <v>2603812.6107648001</v>
      </c>
      <c r="I112" s="2">
        <f t="shared" si="104"/>
        <v>2812117.6196259838</v>
      </c>
      <c r="J112" s="2">
        <f t="shared" si="104"/>
        <v>3037087.0291960626</v>
      </c>
      <c r="K112" s="2">
        <f t="shared" si="104"/>
        <v>3280053.9915317474</v>
      </c>
      <c r="L112" s="2">
        <f t="shared" si="104"/>
        <v>3542458.3108542874</v>
      </c>
      <c r="M112" s="2">
        <f t="shared" si="104"/>
        <v>3825854.9757226305</v>
      </c>
      <c r="N112" s="2">
        <f t="shared" si="104"/>
        <v>4131923.3737804405</v>
      </c>
      <c r="O112" s="2">
        <f t="shared" si="104"/>
        <v>4462477.2436828753</v>
      </c>
      <c r="P112" s="2">
        <f t="shared" si="104"/>
        <v>4819475.4231775058</v>
      </c>
      <c r="Q112" s="2">
        <f t="shared" si="104"/>
        <v>5205033.4570317054</v>
      </c>
      <c r="R112" s="2">
        <f t="shared" si="104"/>
        <v>5621436.1335942419</v>
      </c>
    </row>
    <row r="113" spans="1:18" s="2" customFormat="1" x14ac:dyDescent="0.3">
      <c r="A113" t="s">
        <v>137</v>
      </c>
      <c r="B113"/>
      <c r="C113" s="59"/>
      <c r="D113" s="2">
        <f t="shared" ref="D113:R113" si="105">D86*$D$38</f>
        <v>1957920</v>
      </c>
      <c r="E113" s="2">
        <f t="shared" si="105"/>
        <v>2114553.5999999996</v>
      </c>
      <c r="F113" s="2">
        <f t="shared" si="105"/>
        <v>2283717.8879999998</v>
      </c>
      <c r="G113" s="2">
        <f t="shared" si="105"/>
        <v>2466415.3190399995</v>
      </c>
      <c r="H113" s="2">
        <f t="shared" si="105"/>
        <v>2663728.5445631999</v>
      </c>
      <c r="I113" s="2">
        <f t="shared" si="105"/>
        <v>2876826.8281282559</v>
      </c>
      <c r="J113" s="2">
        <f t="shared" si="105"/>
        <v>3106972.974378516</v>
      </c>
      <c r="K113" s="2">
        <f t="shared" si="105"/>
        <v>3355530.8123287973</v>
      </c>
      <c r="L113" s="2">
        <f t="shared" si="105"/>
        <v>3623973.2773151011</v>
      </c>
      <c r="M113" s="2">
        <f t="shared" si="105"/>
        <v>3913891.1395003092</v>
      </c>
      <c r="N113" s="2">
        <f t="shared" si="105"/>
        <v>4227002.4306603344</v>
      </c>
      <c r="O113" s="2">
        <f t="shared" si="105"/>
        <v>4565162.6251131603</v>
      </c>
      <c r="P113" s="2">
        <f t="shared" si="105"/>
        <v>4930375.6351222135</v>
      </c>
      <c r="Q113" s="2">
        <f t="shared" si="105"/>
        <v>5324805.6859319918</v>
      </c>
      <c r="R113" s="2">
        <f t="shared" si="105"/>
        <v>5750790.1408065502</v>
      </c>
    </row>
    <row r="114" spans="1:18" s="2" customFormat="1" x14ac:dyDescent="0.3">
      <c r="A114" t="s">
        <v>138</v>
      </c>
      <c r="B114"/>
      <c r="C114" s="59"/>
      <c r="D114" s="2">
        <f t="shared" ref="D114:R114" si="106">D87*$D$38</f>
        <v>1963710</v>
      </c>
      <c r="E114" s="2">
        <f t="shared" si="106"/>
        <v>2120806.7999999998</v>
      </c>
      <c r="F114" s="2">
        <f t="shared" si="106"/>
        <v>2290471.344</v>
      </c>
      <c r="G114" s="2">
        <f t="shared" si="106"/>
        <v>2473709.0515200002</v>
      </c>
      <c r="H114" s="2">
        <f t="shared" si="106"/>
        <v>2671605.7756416001</v>
      </c>
      <c r="I114" s="2">
        <f t="shared" si="106"/>
        <v>2885334.2376929279</v>
      </c>
      <c r="J114" s="2">
        <f t="shared" si="106"/>
        <v>3116160.9767083623</v>
      </c>
      <c r="K114" s="2">
        <f t="shared" si="106"/>
        <v>3365453.8548450316</v>
      </c>
      <c r="L114" s="2">
        <f t="shared" si="106"/>
        <v>3634690.1632326338</v>
      </c>
      <c r="M114" s="2">
        <f t="shared" si="106"/>
        <v>3925465.3762912452</v>
      </c>
      <c r="N114" s="2">
        <f t="shared" si="106"/>
        <v>4239502.6063945452</v>
      </c>
      <c r="O114" s="2">
        <f t="shared" si="106"/>
        <v>4578662.8149061082</v>
      </c>
      <c r="P114" s="2">
        <f t="shared" si="106"/>
        <v>4944955.8400985962</v>
      </c>
      <c r="Q114" s="2">
        <f t="shared" si="106"/>
        <v>5340552.3073064843</v>
      </c>
      <c r="R114" s="2">
        <f t="shared" si="106"/>
        <v>5767796.4918910032</v>
      </c>
    </row>
  </sheetData>
  <mergeCells count="1">
    <mergeCell ref="A1:K1"/>
  </mergeCells>
  <pageMargins left="0.7" right="0.7" top="0.75" bottom="0.75" header="0.3" footer="0.3"/>
  <pageSetup paperSize="3" scale="96"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W28"/>
  <sheetViews>
    <sheetView workbookViewId="0"/>
    <sheetView workbookViewId="1"/>
  </sheetViews>
  <sheetFormatPr defaultRowHeight="14.4" x14ac:dyDescent="0.3"/>
  <cols>
    <col min="1" max="1" width="25.6640625" customWidth="1"/>
    <col min="2" max="2" width="12.6640625" customWidth="1"/>
    <col min="3" max="3" width="17.88671875" customWidth="1"/>
    <col min="4" max="4" width="12.33203125" customWidth="1"/>
    <col min="5" max="5" width="13" customWidth="1"/>
    <col min="6" max="7" width="13" style="2" customWidth="1"/>
    <col min="8" max="12" width="13" customWidth="1"/>
    <col min="13" max="13" width="13" style="210" customWidth="1"/>
    <col min="14" max="14" width="11.33203125" customWidth="1"/>
    <col min="15" max="15" width="19.88671875" customWidth="1"/>
    <col min="16" max="16" width="24.88671875" customWidth="1"/>
  </cols>
  <sheetData>
    <row r="6" spans="1:23" ht="15" thickBot="1" x14ac:dyDescent="0.35"/>
    <row r="7" spans="1:23" ht="18.600000000000001" thickBot="1" x14ac:dyDescent="0.4">
      <c r="F7" s="462" t="s">
        <v>278</v>
      </c>
      <c r="G7" s="463"/>
      <c r="H7" s="463"/>
      <c r="I7" s="463"/>
      <c r="J7" s="463"/>
      <c r="K7" s="463"/>
      <c r="L7" s="464"/>
      <c r="M7" s="211"/>
      <c r="N7" s="207"/>
    </row>
    <row r="8" spans="1:23" s="168" customFormat="1" ht="49.2" customHeight="1" x14ac:dyDescent="0.35">
      <c r="A8" s="168" t="s">
        <v>261</v>
      </c>
      <c r="B8" s="168" t="s">
        <v>262</v>
      </c>
      <c r="C8" s="168" t="s">
        <v>263</v>
      </c>
      <c r="D8" s="168" t="s">
        <v>10</v>
      </c>
      <c r="E8" s="168" t="s">
        <v>264</v>
      </c>
      <c r="F8" s="177" t="s">
        <v>277</v>
      </c>
      <c r="G8" s="178" t="s">
        <v>276</v>
      </c>
      <c r="H8" s="179" t="s">
        <v>273</v>
      </c>
      <c r="I8" s="180" t="s">
        <v>274</v>
      </c>
      <c r="J8" s="181" t="s">
        <v>275</v>
      </c>
      <c r="K8" s="182" t="s">
        <v>60</v>
      </c>
      <c r="L8" s="198" t="s">
        <v>35</v>
      </c>
      <c r="M8" s="217" t="s">
        <v>307</v>
      </c>
      <c r="N8" s="208" t="s">
        <v>308</v>
      </c>
      <c r="O8" s="168" t="s">
        <v>309</v>
      </c>
    </row>
    <row r="9" spans="1:23" s="167" customFormat="1" x14ac:dyDescent="0.3">
      <c r="A9" s="167" t="s">
        <v>200</v>
      </c>
      <c r="B9" s="167">
        <v>5</v>
      </c>
      <c r="C9" s="167" t="s">
        <v>265</v>
      </c>
      <c r="D9" s="167">
        <v>45</v>
      </c>
      <c r="E9" s="167" t="s">
        <v>266</v>
      </c>
      <c r="F9" s="183">
        <v>6000</v>
      </c>
      <c r="G9" s="184">
        <v>300</v>
      </c>
      <c r="H9" s="184">
        <v>15000</v>
      </c>
      <c r="I9" s="183">
        <v>16000</v>
      </c>
      <c r="J9" s="185">
        <f>I9/B9</f>
        <v>3200</v>
      </c>
      <c r="K9" s="185">
        <v>60000</v>
      </c>
      <c r="L9" s="199">
        <f>F9+G9+H9+J9+K9</f>
        <v>84500</v>
      </c>
      <c r="M9" s="218">
        <f>'I-5 Backbone'!I11</f>
        <v>484720</v>
      </c>
      <c r="N9" s="167">
        <v>2.2999999999999998</v>
      </c>
      <c r="O9" s="215">
        <f>N9*M9</f>
        <v>1114856</v>
      </c>
      <c r="W9" s="171" t="s">
        <v>279</v>
      </c>
    </row>
    <row r="10" spans="1:23" s="167" customFormat="1" x14ac:dyDescent="0.3">
      <c r="A10" s="167" t="s">
        <v>267</v>
      </c>
      <c r="B10" s="167">
        <v>2</v>
      </c>
      <c r="C10" s="167" t="s">
        <v>265</v>
      </c>
      <c r="D10" s="167">
        <v>35</v>
      </c>
      <c r="E10" s="167" t="s">
        <v>268</v>
      </c>
      <c r="F10" s="183">
        <v>6000</v>
      </c>
      <c r="G10" s="184">
        <v>300</v>
      </c>
      <c r="H10" s="184">
        <v>15000</v>
      </c>
      <c r="I10" s="183">
        <v>16000</v>
      </c>
      <c r="J10" s="185">
        <f t="shared" ref="J10:J13" si="0">I10/B10</f>
        <v>8000</v>
      </c>
      <c r="K10" s="185">
        <v>60000</v>
      </c>
      <c r="L10" s="199">
        <f t="shared" ref="L10:L13" si="1">F10+G10+H10+J10+K10</f>
        <v>89300</v>
      </c>
      <c r="M10" s="218">
        <f>'Siskiyou Feeder'!I4</f>
        <v>156000</v>
      </c>
      <c r="N10" s="197">
        <v>2.2999999999999998</v>
      </c>
      <c r="O10" s="215">
        <f t="shared" ref="O10:O13" si="2">N10*M10</f>
        <v>358800</v>
      </c>
    </row>
    <row r="11" spans="1:23" s="167" customFormat="1" x14ac:dyDescent="0.3">
      <c r="A11" s="167" t="s">
        <v>269</v>
      </c>
      <c r="B11" s="167">
        <v>2</v>
      </c>
      <c r="C11" s="167" t="s">
        <v>265</v>
      </c>
      <c r="D11" s="167">
        <v>35</v>
      </c>
      <c r="E11" s="167" t="s">
        <v>268</v>
      </c>
      <c r="F11" s="183">
        <v>6000</v>
      </c>
      <c r="G11" s="184">
        <v>300</v>
      </c>
      <c r="H11" s="184">
        <v>15000</v>
      </c>
      <c r="I11" s="183">
        <v>16000</v>
      </c>
      <c r="J11" s="185">
        <f t="shared" si="0"/>
        <v>8000</v>
      </c>
      <c r="K11" s="185">
        <v>60000</v>
      </c>
      <c r="L11" s="199">
        <f t="shared" si="1"/>
        <v>89300</v>
      </c>
      <c r="M11" s="218">
        <f>'Shasta Urban Feeder'!I4</f>
        <v>204400</v>
      </c>
      <c r="N11" s="197">
        <v>2.2999999999999998</v>
      </c>
      <c r="O11" s="215">
        <f t="shared" si="2"/>
        <v>470119.99999999994</v>
      </c>
    </row>
    <row r="12" spans="1:23" s="167" customFormat="1" x14ac:dyDescent="0.3">
      <c r="A12" s="167" t="s">
        <v>270</v>
      </c>
      <c r="B12" s="167">
        <v>2</v>
      </c>
      <c r="C12" s="167" t="s">
        <v>265</v>
      </c>
      <c r="D12" s="167">
        <v>35</v>
      </c>
      <c r="E12" s="167" t="s">
        <v>268</v>
      </c>
      <c r="F12" s="183">
        <v>6000</v>
      </c>
      <c r="G12" s="184">
        <v>300</v>
      </c>
      <c r="H12" s="184">
        <v>15000</v>
      </c>
      <c r="I12" s="183">
        <v>16000</v>
      </c>
      <c r="J12" s="185">
        <f t="shared" si="0"/>
        <v>8000</v>
      </c>
      <c r="K12" s="185">
        <v>60000</v>
      </c>
      <c r="L12" s="199">
        <f t="shared" si="1"/>
        <v>89300</v>
      </c>
      <c r="M12" s="218">
        <f>'North Valley Feeder'!I4</f>
        <v>151840</v>
      </c>
      <c r="N12" s="197">
        <v>2.2999999999999998</v>
      </c>
      <c r="O12" s="215">
        <f t="shared" si="2"/>
        <v>349232</v>
      </c>
    </row>
    <row r="13" spans="1:23" s="167" customFormat="1" x14ac:dyDescent="0.3">
      <c r="A13" s="167" t="s">
        <v>271</v>
      </c>
      <c r="B13" s="167">
        <v>2</v>
      </c>
      <c r="C13" s="167" t="s">
        <v>265</v>
      </c>
      <c r="D13" s="167">
        <v>35</v>
      </c>
      <c r="E13" s="167" t="s">
        <v>268</v>
      </c>
      <c r="F13" s="183">
        <v>6000</v>
      </c>
      <c r="G13" s="184">
        <v>300</v>
      </c>
      <c r="H13" s="184">
        <v>15000</v>
      </c>
      <c r="I13" s="183">
        <v>16000</v>
      </c>
      <c r="J13" s="185">
        <f t="shared" si="0"/>
        <v>8000</v>
      </c>
      <c r="K13" s="185">
        <v>60000</v>
      </c>
      <c r="L13" s="199">
        <f t="shared" si="1"/>
        <v>89300</v>
      </c>
      <c r="M13" s="218">
        <f>'Lake Feeder'!I4</f>
        <v>151840</v>
      </c>
      <c r="N13" s="197">
        <v>2.2999999999999998</v>
      </c>
      <c r="O13" s="215">
        <f t="shared" si="2"/>
        <v>349232</v>
      </c>
    </row>
    <row r="14" spans="1:23" x14ac:dyDescent="0.3">
      <c r="B14">
        <f>SUM(B9:B13)</f>
        <v>13</v>
      </c>
      <c r="F14" s="186"/>
      <c r="G14" s="187"/>
      <c r="H14" s="187"/>
      <c r="I14" s="186"/>
      <c r="J14" s="188"/>
      <c r="K14" s="188"/>
      <c r="L14" s="200"/>
      <c r="M14" s="213"/>
      <c r="N14" s="157"/>
    </row>
    <row r="15" spans="1:23" s="167" customFormat="1" ht="15" thickBot="1" x14ac:dyDescent="0.35">
      <c r="F15" s="189"/>
      <c r="G15" s="190"/>
      <c r="H15" s="191"/>
      <c r="I15" s="192"/>
      <c r="J15" s="193"/>
      <c r="K15" s="193"/>
      <c r="L15" s="201"/>
      <c r="M15" s="212"/>
      <c r="N15" s="209"/>
    </row>
    <row r="16" spans="1:23" s="167" customFormat="1" x14ac:dyDescent="0.3">
      <c r="A16" s="167" t="s">
        <v>172</v>
      </c>
      <c r="F16" s="59"/>
      <c r="G16" s="59"/>
      <c r="K16" s="197"/>
      <c r="M16" s="214"/>
      <c r="N16" s="197"/>
    </row>
    <row r="17" spans="6:14" s="167" customFormat="1" x14ac:dyDescent="0.3">
      <c r="F17" s="59"/>
      <c r="G17" s="59"/>
      <c r="K17" s="197"/>
      <c r="M17" s="214"/>
      <c r="N17" s="197"/>
    </row>
    <row r="18" spans="6:14" s="167" customFormat="1" x14ac:dyDescent="0.3">
      <c r="F18" s="59"/>
      <c r="G18" s="59"/>
      <c r="K18" s="197"/>
      <c r="M18" s="214"/>
      <c r="N18" s="197"/>
    </row>
    <row r="19" spans="6:14" s="167" customFormat="1" x14ac:dyDescent="0.3">
      <c r="F19" s="59"/>
      <c r="G19" s="59"/>
      <c r="K19" s="197"/>
      <c r="M19" s="214"/>
      <c r="N19" s="197"/>
    </row>
    <row r="20" spans="6:14" s="167" customFormat="1" x14ac:dyDescent="0.3">
      <c r="F20" s="59"/>
      <c r="G20" s="59"/>
      <c r="K20" s="197"/>
      <c r="M20" s="214"/>
      <c r="N20" s="197"/>
    </row>
    <row r="21" spans="6:14" s="167" customFormat="1" x14ac:dyDescent="0.3">
      <c r="F21" s="59"/>
      <c r="G21" s="59"/>
      <c r="K21" s="197"/>
      <c r="M21" s="214"/>
      <c r="N21" s="197"/>
    </row>
    <row r="22" spans="6:14" s="167" customFormat="1" x14ac:dyDescent="0.3">
      <c r="F22" s="59"/>
      <c r="G22" s="59"/>
      <c r="K22" s="197"/>
      <c r="M22" s="214"/>
      <c r="N22" s="197"/>
    </row>
    <row r="23" spans="6:14" s="167" customFormat="1" x14ac:dyDescent="0.3">
      <c r="F23" s="59"/>
      <c r="G23" s="59"/>
      <c r="K23" s="197"/>
      <c r="M23" s="214"/>
      <c r="N23" s="197"/>
    </row>
    <row r="24" spans="6:14" s="167" customFormat="1" x14ac:dyDescent="0.3">
      <c r="F24" s="59"/>
      <c r="G24" s="59"/>
      <c r="K24" s="197"/>
      <c r="M24" s="214"/>
      <c r="N24" s="197"/>
    </row>
    <row r="25" spans="6:14" s="167" customFormat="1" x14ac:dyDescent="0.3">
      <c r="F25" s="59"/>
      <c r="G25" s="59"/>
      <c r="K25" s="197"/>
      <c r="M25" s="214"/>
      <c r="N25" s="197"/>
    </row>
    <row r="26" spans="6:14" s="167" customFormat="1" x14ac:dyDescent="0.3">
      <c r="F26" s="59"/>
      <c r="G26" s="59"/>
      <c r="K26" s="197"/>
      <c r="M26" s="214"/>
      <c r="N26" s="197"/>
    </row>
    <row r="27" spans="6:14" s="167" customFormat="1" x14ac:dyDescent="0.3">
      <c r="F27" s="59"/>
      <c r="G27" s="59"/>
      <c r="K27" s="197"/>
      <c r="M27" s="214"/>
      <c r="N27" s="197"/>
    </row>
    <row r="28" spans="6:14" s="167" customFormat="1" x14ac:dyDescent="0.3">
      <c r="F28" s="59"/>
      <c r="G28" s="59"/>
      <c r="K28" s="197"/>
      <c r="M28" s="214"/>
      <c r="N28" s="197"/>
    </row>
  </sheetData>
  <mergeCells count="1">
    <mergeCell ref="F7:L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9"/>
  <sheetViews>
    <sheetView workbookViewId="0"/>
    <sheetView workbookViewId="1"/>
  </sheetViews>
  <sheetFormatPr defaultRowHeight="14.4" x14ac:dyDescent="0.3"/>
  <cols>
    <col min="2" max="2" width="29.44140625" style="171" customWidth="1"/>
    <col min="3" max="3" width="14.33203125" customWidth="1"/>
    <col min="4" max="4" width="16.33203125" customWidth="1"/>
    <col min="5" max="5" width="12.5546875" customWidth="1"/>
    <col min="6" max="6" width="13.109375" customWidth="1"/>
    <col min="7" max="7" width="11.6640625" customWidth="1"/>
    <col min="8" max="8" width="16.109375" customWidth="1"/>
    <col min="9" max="9" width="11.6640625" customWidth="1"/>
    <col min="10" max="10" width="11.6640625" style="2" customWidth="1"/>
    <col min="11" max="17" width="11.6640625" customWidth="1"/>
  </cols>
  <sheetData>
    <row r="1" spans="2:10" x14ac:dyDescent="0.3">
      <c r="B1" s="171" t="s">
        <v>327</v>
      </c>
    </row>
    <row r="3" spans="2:10" s="158" customFormat="1" ht="30" customHeight="1" x14ac:dyDescent="0.3">
      <c r="B3" s="17" t="s">
        <v>3</v>
      </c>
      <c r="C3" s="158" t="s">
        <v>233</v>
      </c>
      <c r="D3" s="158" t="s">
        <v>242</v>
      </c>
      <c r="E3" s="158" t="s">
        <v>244</v>
      </c>
      <c r="F3" s="158" t="s">
        <v>245</v>
      </c>
      <c r="J3" s="298"/>
    </row>
    <row r="5" spans="2:10" x14ac:dyDescent="0.3">
      <c r="B5" s="172" t="s">
        <v>243</v>
      </c>
      <c r="C5" s="173">
        <v>4.2</v>
      </c>
      <c r="D5" s="173">
        <v>0.1133</v>
      </c>
      <c r="E5" s="174">
        <f>G16*D5</f>
        <v>949.64510843373523</v>
      </c>
      <c r="F5" s="174">
        <f>E5*100</f>
        <v>94964.510843373529</v>
      </c>
    </row>
    <row r="7" spans="2:10" x14ac:dyDescent="0.3">
      <c r="B7" s="171" t="s">
        <v>241</v>
      </c>
    </row>
    <row r="9" spans="2:10" s="167" customFormat="1" x14ac:dyDescent="0.3">
      <c r="B9" s="171"/>
      <c r="C9" s="167" t="s">
        <v>238</v>
      </c>
      <c r="D9" s="167" t="s">
        <v>237</v>
      </c>
      <c r="E9" s="167" t="s">
        <v>235</v>
      </c>
      <c r="F9" s="167" t="s">
        <v>239</v>
      </c>
      <c r="G9" s="167" t="s">
        <v>240</v>
      </c>
      <c r="H9" s="167" t="s">
        <v>236</v>
      </c>
      <c r="J9" s="59"/>
    </row>
    <row r="10" spans="2:10" ht="15" thickBot="1" x14ac:dyDescent="0.35"/>
    <row r="11" spans="2:10" x14ac:dyDescent="0.3">
      <c r="B11" s="301" t="s">
        <v>200</v>
      </c>
      <c r="C11" s="302">
        <f>H11/D11</f>
        <v>2.4096385542168677</v>
      </c>
      <c r="D11" s="303">
        <v>166</v>
      </c>
      <c r="E11" s="303">
        <v>8</v>
      </c>
      <c r="F11" s="303">
        <f>D11*E11</f>
        <v>1328</v>
      </c>
      <c r="G11" s="304">
        <f>F11*$C$11</f>
        <v>3200.0000000000005</v>
      </c>
      <c r="H11" s="304">
        <v>400</v>
      </c>
      <c r="I11" s="303">
        <f>G11*$D$5</f>
        <v>362.56000000000006</v>
      </c>
      <c r="J11" s="305">
        <f>I11*100</f>
        <v>36256.000000000007</v>
      </c>
    </row>
    <row r="12" spans="2:10" x14ac:dyDescent="0.3">
      <c r="B12" s="306" t="s">
        <v>201</v>
      </c>
      <c r="C12" s="299"/>
      <c r="D12" s="159">
        <v>100</v>
      </c>
      <c r="E12" s="159">
        <v>6</v>
      </c>
      <c r="F12" s="159">
        <f>D12*E12</f>
        <v>600</v>
      </c>
      <c r="G12" s="300">
        <f>F12*$C$11</f>
        <v>1445.7831325301206</v>
      </c>
      <c r="H12" s="300"/>
      <c r="I12" s="159">
        <f>G12*$D$5</f>
        <v>163.80722891566265</v>
      </c>
      <c r="J12" s="307">
        <f>I12*100</f>
        <v>16380.722891566265</v>
      </c>
    </row>
    <row r="13" spans="2:10" x14ac:dyDescent="0.3">
      <c r="B13" s="306" t="s">
        <v>339</v>
      </c>
      <c r="C13" s="299"/>
      <c r="D13" s="159">
        <v>70</v>
      </c>
      <c r="E13" s="159">
        <v>8</v>
      </c>
      <c r="F13" s="159">
        <f t="shared" ref="F13" si="0">D13*E13</f>
        <v>560</v>
      </c>
      <c r="G13" s="300">
        <f>F13*$C$11</f>
        <v>1349.397590361446</v>
      </c>
      <c r="H13" s="159"/>
      <c r="I13" s="159">
        <f t="shared" ref="I13" si="1">G13*$D$5</f>
        <v>152.88674698795182</v>
      </c>
      <c r="J13" s="307">
        <f t="shared" ref="J13:J15" si="2">I13*100</f>
        <v>15288.674698795183</v>
      </c>
    </row>
    <row r="14" spans="2:10" x14ac:dyDescent="0.3">
      <c r="B14" s="306" t="s">
        <v>202</v>
      </c>
      <c r="C14" s="299"/>
      <c r="D14" s="159">
        <v>73.8</v>
      </c>
      <c r="E14" s="159">
        <v>8</v>
      </c>
      <c r="F14" s="159">
        <f t="shared" ref="F14:F15" si="3">D14*E14</f>
        <v>590.4</v>
      </c>
      <c r="G14" s="300">
        <f>F14*$C$11</f>
        <v>1422.6506024096386</v>
      </c>
      <c r="H14" s="159"/>
      <c r="I14" s="159">
        <f t="shared" ref="I14:I15" si="4">G14*$D$5</f>
        <v>161.18631325301206</v>
      </c>
      <c r="J14" s="307">
        <f t="shared" si="2"/>
        <v>16118.631325301207</v>
      </c>
    </row>
    <row r="15" spans="2:10" ht="15" thickBot="1" x14ac:dyDescent="0.35">
      <c r="B15" s="308" t="s">
        <v>203</v>
      </c>
      <c r="C15" s="309"/>
      <c r="D15" s="135">
        <v>50</v>
      </c>
      <c r="E15" s="135">
        <v>8</v>
      </c>
      <c r="F15" s="135">
        <f t="shared" si="3"/>
        <v>400</v>
      </c>
      <c r="G15" s="310">
        <f>F15*$C$11</f>
        <v>963.85542168674704</v>
      </c>
      <c r="H15" s="310"/>
      <c r="I15" s="135">
        <f t="shared" si="4"/>
        <v>109.20481927710844</v>
      </c>
      <c r="J15" s="311">
        <f t="shared" si="2"/>
        <v>10920.481927710844</v>
      </c>
    </row>
    <row r="16" spans="2:10" x14ac:dyDescent="0.3">
      <c r="B16" s="171" t="s">
        <v>35</v>
      </c>
      <c r="F16">
        <f>SUM(F11:F15)</f>
        <v>3478.4</v>
      </c>
      <c r="G16" s="170">
        <f>SUM(G11:G15)</f>
        <v>8381.6867469879544</v>
      </c>
    </row>
    <row r="17" spans="2:8" x14ac:dyDescent="0.3">
      <c r="H17" s="170"/>
    </row>
    <row r="18" spans="2:8" x14ac:dyDescent="0.3">
      <c r="B18" s="171" t="s">
        <v>234</v>
      </c>
    </row>
    <row r="19" spans="2:8" x14ac:dyDescent="0.3">
      <c r="B19" s="326" t="s">
        <v>246</v>
      </c>
    </row>
  </sheetData>
  <hyperlinks>
    <hyperlink ref="B19" r:id="rId1"/>
  </hyperlinks>
  <pageMargins left="0.7" right="0.7" top="0.75" bottom="0.75" header="0.3" footer="0.3"/>
  <pageSetup paperSize="3" scale="96" orientation="landscape" horizontalDpi="1200" verticalDpi="120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1"/>
  <sheetViews>
    <sheetView workbookViewId="0"/>
    <sheetView workbookViewId="1"/>
  </sheetViews>
  <sheetFormatPr defaultRowHeight="14.4" x14ac:dyDescent="0.3"/>
  <cols>
    <col min="1" max="1" width="29.77734375" customWidth="1"/>
    <col min="2" max="3" width="17.88671875" style="2" customWidth="1"/>
    <col min="4" max="4" width="111.21875" customWidth="1"/>
  </cols>
  <sheetData>
    <row r="4" spans="1:4" x14ac:dyDescent="0.3">
      <c r="B4" s="2" t="s">
        <v>61</v>
      </c>
      <c r="C4" s="2" t="s">
        <v>360</v>
      </c>
    </row>
    <row r="5" spans="1:4" x14ac:dyDescent="0.3">
      <c r="A5" t="s">
        <v>365</v>
      </c>
      <c r="B5" s="323">
        <v>0.46</v>
      </c>
      <c r="C5" s="323">
        <v>0.54</v>
      </c>
    </row>
    <row r="6" spans="1:4" s="28" customFormat="1" ht="18" customHeight="1" x14ac:dyDescent="0.3">
      <c r="A6" s="28" t="s">
        <v>357</v>
      </c>
      <c r="B6" s="325"/>
      <c r="C6" s="325"/>
    </row>
    <row r="7" spans="1:4" s="28" customFormat="1" ht="18" customHeight="1" x14ac:dyDescent="0.3">
      <c r="A7" s="28" t="s">
        <v>354</v>
      </c>
      <c r="B7" s="325">
        <f>67500*B5</f>
        <v>31050</v>
      </c>
      <c r="C7" s="325">
        <f>67500*C5</f>
        <v>36450</v>
      </c>
      <c r="D7" s="322" t="s">
        <v>366</v>
      </c>
    </row>
    <row r="8" spans="1:4" s="28" customFormat="1" ht="18" customHeight="1" x14ac:dyDescent="0.3">
      <c r="A8" s="28" t="s">
        <v>355</v>
      </c>
      <c r="B8" s="325">
        <f>18000*B5</f>
        <v>8280</v>
      </c>
      <c r="C8" s="325">
        <f>18000*C5</f>
        <v>9720</v>
      </c>
    </row>
    <row r="9" spans="1:4" s="28" customFormat="1" ht="18" customHeight="1" x14ac:dyDescent="0.3">
      <c r="A9" s="28" t="s">
        <v>356</v>
      </c>
      <c r="B9" s="325">
        <f>10000*B5</f>
        <v>4600</v>
      </c>
      <c r="C9" s="325">
        <f>10000*C5</f>
        <v>5400</v>
      </c>
    </row>
    <row r="10" spans="1:4" s="28" customFormat="1" ht="18" customHeight="1" x14ac:dyDescent="0.3">
      <c r="A10" s="28" t="s">
        <v>358</v>
      </c>
      <c r="B10" s="325">
        <f>96000*B5</f>
        <v>44160</v>
      </c>
      <c r="C10" s="325">
        <f>96000*C5</f>
        <v>51840</v>
      </c>
      <c r="D10" s="322" t="s">
        <v>364</v>
      </c>
    </row>
    <row r="11" spans="1:4" s="28" customFormat="1" ht="18" customHeight="1" x14ac:dyDescent="0.3">
      <c r="A11" s="28" t="s">
        <v>359</v>
      </c>
      <c r="B11" s="325">
        <f>(0.035*17800000)*B5</f>
        <v>286580.00000000006</v>
      </c>
      <c r="C11" s="325">
        <f>(0.035*17800000)*C5</f>
        <v>336420.00000000006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7218"/>
  <sheetViews>
    <sheetView topLeftCell="A7" workbookViewId="0">
      <selection activeCell="A2" sqref="A2:G35"/>
    </sheetView>
    <sheetView workbookViewId="1"/>
  </sheetViews>
  <sheetFormatPr defaultRowHeight="14.4" x14ac:dyDescent="0.3"/>
  <cols>
    <col min="1" max="1" width="33.5546875" customWidth="1"/>
    <col min="2" max="2" width="15.21875" style="2" customWidth="1"/>
    <col min="3" max="7" width="17" style="2" customWidth="1"/>
    <col min="8" max="8" width="12.33203125" style="2" customWidth="1"/>
    <col min="9" max="9" width="49.109375" customWidth="1"/>
  </cols>
  <sheetData>
    <row r="1" spans="1:9" s="256" customFormat="1" ht="15" thickBot="1" x14ac:dyDescent="0.35">
      <c r="B1" s="278"/>
      <c r="C1" s="278"/>
      <c r="D1" s="278"/>
      <c r="E1" s="278"/>
      <c r="F1" s="278"/>
      <c r="G1" s="278"/>
      <c r="H1" s="278"/>
    </row>
    <row r="2" spans="1:9" s="195" customFormat="1" ht="21" x14ac:dyDescent="0.4">
      <c r="A2" s="443" t="s">
        <v>298</v>
      </c>
      <c r="B2" s="444"/>
      <c r="C2" s="444"/>
      <c r="D2" s="444"/>
      <c r="E2" s="444"/>
      <c r="F2" s="444"/>
      <c r="G2" s="445"/>
      <c r="H2" s="194"/>
    </row>
    <row r="3" spans="1:9" s="175" customFormat="1" ht="31.2" x14ac:dyDescent="0.3">
      <c r="A3" s="424" t="s">
        <v>248</v>
      </c>
      <c r="B3" s="425" t="s">
        <v>200</v>
      </c>
      <c r="C3" s="425" t="s">
        <v>201</v>
      </c>
      <c r="D3" s="425" t="s">
        <v>296</v>
      </c>
      <c r="E3" s="425" t="s">
        <v>202</v>
      </c>
      <c r="F3" s="425" t="s">
        <v>203</v>
      </c>
      <c r="G3" s="426" t="s">
        <v>35</v>
      </c>
      <c r="H3" s="176" t="s">
        <v>211</v>
      </c>
      <c r="I3" s="175" t="s">
        <v>222</v>
      </c>
    </row>
    <row r="4" spans="1:9" ht="16.95" customHeight="1" x14ac:dyDescent="0.3">
      <c r="A4" s="205" t="s">
        <v>182</v>
      </c>
      <c r="B4" s="160">
        <f>'I-5 Backbone'!B4</f>
        <v>3750000</v>
      </c>
      <c r="C4" s="160">
        <f>'Siskiyou Feeder'!B4</f>
        <v>1200000</v>
      </c>
      <c r="D4" s="160">
        <f>'Shasta Urban Feeder'!B4</f>
        <v>1200000</v>
      </c>
      <c r="E4" s="160">
        <f>'North Valley Feeder'!B4</f>
        <v>1200000</v>
      </c>
      <c r="F4" s="160">
        <f>'Lake Feeder'!B4</f>
        <v>1200000</v>
      </c>
      <c r="G4" s="427">
        <f>SUM(B4:F4)</f>
        <v>8550000</v>
      </c>
    </row>
    <row r="5" spans="1:9" ht="16.95" customHeight="1" x14ac:dyDescent="0.3">
      <c r="A5" s="205" t="s">
        <v>44</v>
      </c>
      <c r="B5" s="160">
        <f>'I-5 Backbone'!B5</f>
        <v>160000</v>
      </c>
      <c r="C5" s="160">
        <f>'Siskiyou Feeder'!B5</f>
        <v>40000</v>
      </c>
      <c r="D5" s="160">
        <f>'Shasta Urban Feeder'!B5</f>
        <v>40000</v>
      </c>
      <c r="E5" s="160">
        <f>'North Valley Feeder'!B5</f>
        <v>40000</v>
      </c>
      <c r="F5" s="160">
        <f>'Lake Feeder'!B5</f>
        <v>80000</v>
      </c>
      <c r="G5" s="427">
        <f t="shared" ref="G5:G34" si="0">SUM(B5:F5)</f>
        <v>360000</v>
      </c>
      <c r="I5" t="s">
        <v>250</v>
      </c>
    </row>
    <row r="6" spans="1:9" ht="16.95" customHeight="1" x14ac:dyDescent="0.3">
      <c r="A6" s="205" t="s">
        <v>45</v>
      </c>
      <c r="B6" s="160">
        <f>'I-5 Backbone'!B6</f>
        <v>50000</v>
      </c>
      <c r="C6" s="160">
        <f>'Siskiyou Feeder'!B6</f>
        <v>0</v>
      </c>
      <c r="D6" s="160">
        <f>'Shasta Urban Feeder'!B6</f>
        <v>25000</v>
      </c>
      <c r="E6" s="160">
        <f>'North Valley Feeder'!B6</f>
        <v>25000</v>
      </c>
      <c r="F6" s="160">
        <f>'Lake Feeder'!B6</f>
        <v>40000</v>
      </c>
      <c r="G6" s="427">
        <f t="shared" si="0"/>
        <v>140000</v>
      </c>
    </row>
    <row r="7" spans="1:9" ht="16.95" customHeight="1" x14ac:dyDescent="0.3">
      <c r="A7" s="205" t="s">
        <v>46</v>
      </c>
      <c r="B7" s="160">
        <f>'I-5 Backbone'!B7</f>
        <v>325000</v>
      </c>
      <c r="C7" s="160">
        <f>'Siskiyou Feeder'!B7</f>
        <v>200000</v>
      </c>
      <c r="D7" s="160">
        <f>'Shasta Urban Feeder'!B7</f>
        <v>75000</v>
      </c>
      <c r="E7" s="160">
        <f>'North Valley Feeder'!B7</f>
        <v>200000</v>
      </c>
      <c r="F7" s="160">
        <f>'Lake Feeder'!B7</f>
        <v>0</v>
      </c>
      <c r="G7" s="427">
        <f t="shared" si="0"/>
        <v>800000</v>
      </c>
    </row>
    <row r="8" spans="1:9" ht="16.95" customHeight="1" x14ac:dyDescent="0.3">
      <c r="A8" s="205" t="s">
        <v>47</v>
      </c>
      <c r="B8" s="160">
        <f>'I-5 Backbone'!B8</f>
        <v>20000</v>
      </c>
      <c r="C8" s="160">
        <f>'Siskiyou Feeder'!B8</f>
        <v>0</v>
      </c>
      <c r="D8" s="160">
        <f>'Shasta Urban Feeder'!B8</f>
        <v>10000</v>
      </c>
      <c r="E8" s="160">
        <f>'North Valley Feeder'!B8</f>
        <v>0</v>
      </c>
      <c r="F8" s="160">
        <f>'Lake Feeder'!B8</f>
        <v>120000</v>
      </c>
      <c r="G8" s="427">
        <f t="shared" si="0"/>
        <v>150000</v>
      </c>
    </row>
    <row r="9" spans="1:9" ht="16.95" customHeight="1" x14ac:dyDescent="0.3">
      <c r="A9" s="205" t="s">
        <v>216</v>
      </c>
      <c r="B9" s="160">
        <f>'I-5 Backbone'!B9</f>
        <v>978000</v>
      </c>
      <c r="C9" s="160">
        <f>'Siskiyou Feeder'!B9</f>
        <v>560000</v>
      </c>
      <c r="D9" s="160">
        <f>'Shasta Urban Feeder'!B9</f>
        <v>800000</v>
      </c>
      <c r="E9" s="160">
        <f>'North Valley Feeder'!B9</f>
        <v>0</v>
      </c>
      <c r="F9" s="160">
        <f>'Lake Feeder'!B9</f>
        <v>300000</v>
      </c>
      <c r="G9" s="427">
        <f t="shared" si="0"/>
        <v>2638000</v>
      </c>
    </row>
    <row r="10" spans="1:9" ht="16.95" customHeight="1" x14ac:dyDescent="0.3">
      <c r="A10" s="205" t="s">
        <v>191</v>
      </c>
      <c r="B10" s="160">
        <f>'I-5 Backbone'!B10</f>
        <v>550000</v>
      </c>
      <c r="C10" s="160">
        <f>'Siskiyou Feeder'!B10</f>
        <v>220000</v>
      </c>
      <c r="D10" s="160">
        <f>'Shasta Urban Feeder'!B10</f>
        <v>220000</v>
      </c>
      <c r="E10" s="160">
        <f>'North Valley Feeder'!B10</f>
        <v>220000</v>
      </c>
      <c r="F10" s="160">
        <f>'Lake Feeder'!B10</f>
        <v>220000</v>
      </c>
      <c r="G10" s="427">
        <f t="shared" si="0"/>
        <v>1430000</v>
      </c>
      <c r="I10" s="159" t="s">
        <v>272</v>
      </c>
    </row>
    <row r="11" spans="1:9" x14ac:dyDescent="0.3">
      <c r="A11" s="428" t="s">
        <v>204</v>
      </c>
      <c r="B11" s="160">
        <f>'I-5 Backbone'!C36</f>
        <v>0</v>
      </c>
      <c r="C11" s="160">
        <f>'Siskiyou Feeder'!C36</f>
        <v>0</v>
      </c>
      <c r="D11" s="160">
        <f>'Shasta Urban Feeder'!C36</f>
        <v>59696</v>
      </c>
      <c r="E11" s="160">
        <f>'North Valley Feeder'!C36</f>
        <v>62254.399999999994</v>
      </c>
      <c r="F11" s="160">
        <f>'Lake Feeder'!C36</f>
        <v>42640</v>
      </c>
      <c r="G11" s="427">
        <f>SUM(B11:F11)</f>
        <v>164590.39999999999</v>
      </c>
    </row>
    <row r="12" spans="1:9" ht="16.95" customHeight="1" x14ac:dyDescent="0.3">
      <c r="A12" s="205" t="s">
        <v>412</v>
      </c>
      <c r="B12" s="160">
        <f>'I-5 Backbone'!B11</f>
        <v>290832</v>
      </c>
      <c r="C12" s="160">
        <f>'Siskiyou Feeder'!B11</f>
        <v>93600</v>
      </c>
      <c r="D12" s="160">
        <f>'Shasta Urban Feeder'!B11</f>
        <v>122640</v>
      </c>
      <c r="E12" s="160">
        <f>'North Valley Feeder'!B11</f>
        <v>91104</v>
      </c>
      <c r="F12" s="160">
        <f>'Lake Feeder'!B11</f>
        <v>62400</v>
      </c>
      <c r="G12" s="427">
        <f t="shared" si="0"/>
        <v>660576</v>
      </c>
    </row>
    <row r="13" spans="1:9" ht="16.95" customHeight="1" x14ac:dyDescent="0.3">
      <c r="A13" s="205" t="s">
        <v>280</v>
      </c>
      <c r="B13" s="160">
        <f>'I-5 Backbone'!B12</f>
        <v>84500</v>
      </c>
      <c r="C13" s="160">
        <f>'Siskiyou Feeder'!B12</f>
        <v>89300</v>
      </c>
      <c r="D13" s="160">
        <f>'Shasta Urban Feeder'!B12</f>
        <v>89300</v>
      </c>
      <c r="E13" s="160">
        <f>'North Valley Feeder'!B12</f>
        <v>89300</v>
      </c>
      <c r="F13" s="160">
        <f>'Lake Feeder'!B12</f>
        <v>89300</v>
      </c>
      <c r="G13" s="427">
        <f t="shared" si="0"/>
        <v>441700</v>
      </c>
    </row>
    <row r="14" spans="1:9" ht="16.95" customHeight="1" x14ac:dyDescent="0.3">
      <c r="A14" s="205" t="s">
        <v>38</v>
      </c>
      <c r="B14" s="160">
        <f>'I-5 Backbone'!B13</f>
        <v>26400</v>
      </c>
      <c r="C14" s="160">
        <f>'Siskiyou Feeder'!B13</f>
        <v>2000</v>
      </c>
      <c r="D14" s="160">
        <f>'Shasta Urban Feeder'!B13</f>
        <v>0</v>
      </c>
      <c r="E14" s="160">
        <f>'North Valley Feeder'!B13</f>
        <v>0</v>
      </c>
      <c r="F14" s="160">
        <f>'Lake Feeder'!B13</f>
        <v>0</v>
      </c>
      <c r="G14" s="427">
        <f t="shared" si="0"/>
        <v>28400</v>
      </c>
    </row>
    <row r="15" spans="1:9" ht="16.95" customHeight="1" x14ac:dyDescent="0.3">
      <c r="A15" s="205" t="s">
        <v>209</v>
      </c>
      <c r="B15" s="160">
        <f>'I-5 Backbone'!B14</f>
        <v>48000</v>
      </c>
      <c r="C15" s="160">
        <f>'Siskiyou Feeder'!B14</f>
        <v>0</v>
      </c>
      <c r="D15" s="160">
        <f>'Shasta Urban Feeder'!B14</f>
        <v>0</v>
      </c>
      <c r="E15" s="160">
        <f>'North Valley Feeder'!B14</f>
        <v>0</v>
      </c>
      <c r="F15" s="160">
        <f>'Lake Feeder'!B14</f>
        <v>0</v>
      </c>
      <c r="G15" s="427">
        <f t="shared" si="0"/>
        <v>48000</v>
      </c>
    </row>
    <row r="16" spans="1:9" ht="16.95" customHeight="1" x14ac:dyDescent="0.3">
      <c r="A16" s="205" t="s">
        <v>188</v>
      </c>
      <c r="B16" s="160">
        <f>'I-5 Backbone'!B15</f>
        <v>50000</v>
      </c>
      <c r="C16" s="160">
        <f>'Siskiyou Feeder'!B15</f>
        <v>0</v>
      </c>
      <c r="D16" s="160">
        <f>'Shasta Urban Feeder'!B15</f>
        <v>0</v>
      </c>
      <c r="E16" s="160">
        <f>'North Valley Feeder'!B15</f>
        <v>0</v>
      </c>
      <c r="F16" s="160">
        <f>'Lake Feeder'!B15</f>
        <v>0</v>
      </c>
      <c r="G16" s="427">
        <f t="shared" si="0"/>
        <v>50000</v>
      </c>
    </row>
    <row r="17" spans="1:9" ht="16.95" customHeight="1" x14ac:dyDescent="0.3">
      <c r="A17" s="428" t="s">
        <v>207</v>
      </c>
      <c r="B17" s="160">
        <f>'I-5 Backbone'!B16</f>
        <v>218400</v>
      </c>
      <c r="C17" s="160">
        <f>'Siskiyou Feeder'!B16</f>
        <v>30000</v>
      </c>
      <c r="D17" s="160">
        <f>'Shasta Urban Feeder'!B16</f>
        <v>30000</v>
      </c>
      <c r="E17" s="160">
        <f>'North Valley Feeder'!B16</f>
        <v>30000</v>
      </c>
      <c r="F17" s="160">
        <f>'Lake Feeder'!B16</f>
        <v>30000</v>
      </c>
      <c r="G17" s="427">
        <f t="shared" si="0"/>
        <v>338400</v>
      </c>
    </row>
    <row r="18" spans="1:9" ht="16.95" customHeight="1" x14ac:dyDescent="0.3">
      <c r="A18" s="428" t="s">
        <v>205</v>
      </c>
      <c r="B18" s="160">
        <f>'I-5 Backbone'!B17</f>
        <v>50000</v>
      </c>
      <c r="C18" s="160">
        <f>'Siskiyou Feeder'!B17</f>
        <v>25000</v>
      </c>
      <c r="D18" s="160">
        <f>'Shasta Urban Feeder'!B17</f>
        <v>25000</v>
      </c>
      <c r="E18" s="160">
        <f>'North Valley Feeder'!B17</f>
        <v>25000</v>
      </c>
      <c r="F18" s="160">
        <f>'Lake Feeder'!B17</f>
        <v>25000</v>
      </c>
      <c r="G18" s="427">
        <f t="shared" si="0"/>
        <v>150000</v>
      </c>
    </row>
    <row r="19" spans="1:9" ht="16.95" customHeight="1" x14ac:dyDescent="0.3">
      <c r="A19" s="428" t="s">
        <v>413</v>
      </c>
      <c r="B19" s="160">
        <f>'I-5 Backbone'!B18</f>
        <v>58400</v>
      </c>
      <c r="C19" s="160">
        <f>'Siskiyou Feeder'!B18</f>
        <v>41600</v>
      </c>
      <c r="D19" s="160">
        <f>'Shasta Urban Feeder'!B18</f>
        <v>58400</v>
      </c>
      <c r="E19" s="160">
        <f>'North Valley Feeder'!B18</f>
        <v>41600</v>
      </c>
      <c r="F19" s="160">
        <f>'Lake Feeder'!B18</f>
        <v>41600</v>
      </c>
      <c r="G19" s="427">
        <f t="shared" ref="G19" si="1">SUM(B19:F19)</f>
        <v>241600</v>
      </c>
    </row>
    <row r="20" spans="1:9" ht="16.8" customHeight="1" x14ac:dyDescent="0.3">
      <c r="A20" s="205" t="s">
        <v>199</v>
      </c>
      <c r="B20" s="160">
        <f>'I-5 Backbone'!B19</f>
        <v>0</v>
      </c>
      <c r="C20" s="160">
        <f>'Siskiyou Feeder'!B19</f>
        <v>0</v>
      </c>
      <c r="D20" s="160">
        <f>'Shasta Urban Feeder'!B19</f>
        <v>0</v>
      </c>
      <c r="E20" s="160">
        <f>'North Valley Feeder'!B19</f>
        <v>2500</v>
      </c>
      <c r="F20" s="160">
        <f>'Lake Feeder'!B19</f>
        <v>0</v>
      </c>
      <c r="G20" s="427">
        <f t="shared" si="0"/>
        <v>2500</v>
      </c>
    </row>
    <row r="21" spans="1:9" ht="16.8" hidden="1" customHeight="1" x14ac:dyDescent="0.3">
      <c r="A21" s="205" t="s">
        <v>40</v>
      </c>
      <c r="B21" s="160">
        <f>'I-5 Backbone'!B20</f>
        <v>0</v>
      </c>
      <c r="C21" s="160">
        <f>'Siskiyou Feeder'!B20</f>
        <v>0</v>
      </c>
      <c r="D21" s="160">
        <f>'Shasta Urban Feeder'!B20</f>
        <v>0</v>
      </c>
      <c r="E21" s="160">
        <f>'North Valley Feeder'!B20</f>
        <v>0</v>
      </c>
      <c r="F21" s="160">
        <f>'Lake Feeder'!B20</f>
        <v>0</v>
      </c>
      <c r="G21" s="427">
        <f t="shared" si="0"/>
        <v>0</v>
      </c>
    </row>
    <row r="22" spans="1:9" ht="16.8" customHeight="1" x14ac:dyDescent="0.3">
      <c r="A22" s="205" t="s">
        <v>38</v>
      </c>
      <c r="B22" s="160">
        <f>'I-5 Backbone'!B21</f>
        <v>0</v>
      </c>
      <c r="C22" s="160">
        <f>'Siskiyou Feeder'!B21</f>
        <v>0</v>
      </c>
      <c r="D22" s="160">
        <f>'Shasta Urban Feeder'!B21</f>
        <v>0</v>
      </c>
      <c r="E22" s="160">
        <f>'North Valley Feeder'!B21</f>
        <v>5000</v>
      </c>
      <c r="F22" s="160">
        <f>'Lake Feeder'!B21</f>
        <v>0</v>
      </c>
      <c r="G22" s="427">
        <f t="shared" si="0"/>
        <v>5000</v>
      </c>
    </row>
    <row r="23" spans="1:9" ht="16.8" hidden="1" customHeight="1" x14ac:dyDescent="0.3">
      <c r="A23" s="205" t="s">
        <v>2</v>
      </c>
      <c r="B23" s="160">
        <f>'I-5 Backbone'!B21</f>
        <v>0</v>
      </c>
      <c r="C23" s="160">
        <f>'Siskiyou Feeder'!B22</f>
        <v>0</v>
      </c>
      <c r="D23" s="160">
        <f>'Shasta Urban Feeder'!B22</f>
        <v>0</v>
      </c>
      <c r="E23" s="160">
        <f>'North Valley Feeder'!B22</f>
        <v>0</v>
      </c>
      <c r="F23" s="160">
        <f>'Lake Feeder'!B22</f>
        <v>0</v>
      </c>
      <c r="G23" s="427">
        <f t="shared" si="0"/>
        <v>0</v>
      </c>
    </row>
    <row r="24" spans="1:9" ht="16.8" hidden="1" customHeight="1" x14ac:dyDescent="0.3">
      <c r="A24" s="205" t="s">
        <v>0</v>
      </c>
      <c r="B24" s="160">
        <f>'I-5 Backbone'!B22</f>
        <v>0</v>
      </c>
      <c r="C24" s="160">
        <f>'Siskiyou Feeder'!B23</f>
        <v>0</v>
      </c>
      <c r="D24" s="160">
        <f>'Shasta Urban Feeder'!B23</f>
        <v>0</v>
      </c>
      <c r="E24" s="160">
        <f>'North Valley Feeder'!B23</f>
        <v>0</v>
      </c>
      <c r="F24" s="160">
        <f>'Lake Feeder'!B23</f>
        <v>0</v>
      </c>
      <c r="G24" s="427">
        <f t="shared" si="0"/>
        <v>0</v>
      </c>
    </row>
    <row r="25" spans="1:9" ht="16.8" hidden="1" customHeight="1" x14ac:dyDescent="0.3">
      <c r="A25" s="205" t="s">
        <v>42</v>
      </c>
      <c r="B25" s="160">
        <f>'I-5 Backbone'!B23</f>
        <v>0</v>
      </c>
      <c r="C25" s="160">
        <f>'Siskiyou Feeder'!B24</f>
        <v>0</v>
      </c>
      <c r="D25" s="160">
        <f>'Shasta Urban Feeder'!B24</f>
        <v>0</v>
      </c>
      <c r="E25" s="160">
        <f>'North Valley Feeder'!B24</f>
        <v>0</v>
      </c>
      <c r="F25" s="160">
        <f>'Lake Feeder'!B24</f>
        <v>0</v>
      </c>
      <c r="G25" s="427">
        <f t="shared" si="0"/>
        <v>0</v>
      </c>
    </row>
    <row r="26" spans="1:9" ht="16.8" customHeight="1" x14ac:dyDescent="0.3">
      <c r="A26" s="205" t="s">
        <v>303</v>
      </c>
      <c r="B26" s="160">
        <f>'I-5 Backbone'!B24</f>
        <v>0</v>
      </c>
      <c r="C26" s="160">
        <f>'Siskiyou Feeder'!B25</f>
        <v>15000</v>
      </c>
      <c r="D26" s="160">
        <f>'Shasta Urban Feeder'!B25</f>
        <v>12500</v>
      </c>
      <c r="E26" s="160">
        <f>'North Valley Feeder'!B25</f>
        <v>10000</v>
      </c>
      <c r="F26" s="160">
        <f>'Lake Feeder'!B25</f>
        <v>0</v>
      </c>
      <c r="G26" s="427">
        <f t="shared" si="0"/>
        <v>37500</v>
      </c>
    </row>
    <row r="27" spans="1:9" ht="16.8" hidden="1" customHeight="1" x14ac:dyDescent="0.3">
      <c r="A27" s="205" t="s">
        <v>41</v>
      </c>
      <c r="B27" s="160">
        <f>'I-5 Backbone'!B25</f>
        <v>0</v>
      </c>
      <c r="C27" s="160">
        <f>'Siskiyou Feeder'!B26</f>
        <v>0</v>
      </c>
      <c r="D27" s="160">
        <f>'Shasta Urban Feeder'!B26</f>
        <v>0</v>
      </c>
      <c r="E27" s="160">
        <f>'North Valley Feeder'!B26</f>
        <v>0</v>
      </c>
      <c r="F27" s="160">
        <f>'Lake Feeder'!B26</f>
        <v>0</v>
      </c>
      <c r="G27" s="427">
        <f t="shared" si="0"/>
        <v>0</v>
      </c>
    </row>
    <row r="28" spans="1:9" ht="16.8" hidden="1" customHeight="1" x14ac:dyDescent="0.3">
      <c r="A28" s="205" t="s">
        <v>206</v>
      </c>
      <c r="B28" s="160">
        <f>'I-5 Backbone'!B26</f>
        <v>0</v>
      </c>
      <c r="C28" s="160">
        <f>'Siskiyou Feeder'!B27</f>
        <v>0</v>
      </c>
      <c r="D28" s="160">
        <f>'Shasta Urban Feeder'!B27</f>
        <v>0</v>
      </c>
      <c r="E28" s="160">
        <f>'North Valley Feeder'!B27</f>
        <v>0</v>
      </c>
      <c r="F28" s="160">
        <f>'Lake Feeder'!B27</f>
        <v>0</v>
      </c>
      <c r="G28" s="427">
        <f t="shared" si="0"/>
        <v>0</v>
      </c>
    </row>
    <row r="29" spans="1:9" ht="16.8" hidden="1" customHeight="1" x14ac:dyDescent="0.3">
      <c r="A29" s="205" t="s">
        <v>1</v>
      </c>
      <c r="B29" s="160">
        <f>'I-5 Backbone'!B27</f>
        <v>0</v>
      </c>
      <c r="C29" s="160">
        <f>'Siskiyou Feeder'!B28</f>
        <v>0</v>
      </c>
      <c r="D29" s="160">
        <f>'Shasta Urban Feeder'!B28</f>
        <v>0</v>
      </c>
      <c r="E29" s="160">
        <f>'North Valley Feeder'!B28</f>
        <v>0</v>
      </c>
      <c r="F29" s="160">
        <f>'Lake Feeder'!B28</f>
        <v>0</v>
      </c>
      <c r="G29" s="427">
        <f t="shared" si="0"/>
        <v>0</v>
      </c>
    </row>
    <row r="30" spans="1:9" ht="18" customHeight="1" x14ac:dyDescent="0.3">
      <c r="A30" s="428" t="s">
        <v>354</v>
      </c>
      <c r="B30" s="160">
        <f>'I-5 Backbone'!B29</f>
        <v>31050</v>
      </c>
      <c r="C30" s="160">
        <f>'Siskiyou Feeder'!B29</f>
        <v>36450</v>
      </c>
      <c r="D30" s="160">
        <f>'Shasta Urban Feeder'!B29</f>
        <v>36450</v>
      </c>
      <c r="E30" s="160">
        <f>'North Valley Feeder'!B29</f>
        <v>36450</v>
      </c>
      <c r="F30" s="160">
        <f>'Lake Feeder'!B29</f>
        <v>36450</v>
      </c>
      <c r="G30" s="427">
        <f t="shared" si="0"/>
        <v>176850</v>
      </c>
      <c r="I30" s="3">
        <f>G35-G30-G31</f>
        <v>18146246.400000002</v>
      </c>
    </row>
    <row r="31" spans="1:9" ht="16.95" customHeight="1" x14ac:dyDescent="0.3">
      <c r="A31" s="429" t="s">
        <v>355</v>
      </c>
      <c r="B31" s="160">
        <f>'I-5 Backbone'!B30</f>
        <v>8280</v>
      </c>
      <c r="C31" s="160">
        <f>'Siskiyou Feeder'!B30</f>
        <v>9720</v>
      </c>
      <c r="D31" s="160">
        <f>'Shasta Urban Feeder'!B30</f>
        <v>9720</v>
      </c>
      <c r="E31" s="160">
        <f>'North Valley Feeder'!B30</f>
        <v>9720</v>
      </c>
      <c r="F31" s="160">
        <f>'Lake Feeder'!B30</f>
        <v>9720</v>
      </c>
      <c r="G31" s="427">
        <f t="shared" si="0"/>
        <v>47160</v>
      </c>
    </row>
    <row r="32" spans="1:9" ht="16.95" customHeight="1" x14ac:dyDescent="0.3">
      <c r="A32" s="429" t="s">
        <v>356</v>
      </c>
      <c r="B32" s="160">
        <f>'I-5 Backbone'!B31</f>
        <v>4600</v>
      </c>
      <c r="C32" s="160">
        <f>'Siskiyou Feeder'!B31</f>
        <v>5400</v>
      </c>
      <c r="D32" s="160">
        <f>'Shasta Urban Feeder'!B31</f>
        <v>5400</v>
      </c>
      <c r="E32" s="160">
        <f>'North Valley Feeder'!B31</f>
        <v>5400</v>
      </c>
      <c r="F32" s="160">
        <f>'Lake Feeder'!B31</f>
        <v>5400</v>
      </c>
      <c r="G32" s="427">
        <f t="shared" si="0"/>
        <v>26200</v>
      </c>
    </row>
    <row r="33" spans="1:8" ht="16.95" customHeight="1" x14ac:dyDescent="0.3">
      <c r="A33" s="429" t="s">
        <v>358</v>
      </c>
      <c r="B33" s="160">
        <f>'I-5 Backbone'!B32</f>
        <v>44160</v>
      </c>
      <c r="C33" s="160">
        <f>'Siskiyou Feeder'!B32</f>
        <v>51840</v>
      </c>
      <c r="D33" s="160">
        <f>'Shasta Urban Feeder'!B32</f>
        <v>51840</v>
      </c>
      <c r="E33" s="160">
        <f>'North Valley Feeder'!B32</f>
        <v>51840</v>
      </c>
      <c r="F33" s="160">
        <f>'Lake Feeder'!B32</f>
        <v>51840</v>
      </c>
      <c r="G33" s="427">
        <f t="shared" si="0"/>
        <v>251520</v>
      </c>
    </row>
    <row r="34" spans="1:8" s="11" customFormat="1" ht="16.95" customHeight="1" thickBot="1" x14ac:dyDescent="0.35">
      <c r="A34" s="430" t="s">
        <v>208</v>
      </c>
      <c r="B34" s="15">
        <f>'I-5 Backbone'!B33</f>
        <v>286580.00000000006</v>
      </c>
      <c r="C34" s="15">
        <f>'Siskiyou Feeder'!B33</f>
        <v>336420.00000000006</v>
      </c>
      <c r="D34" s="15">
        <f>'Shasta Urban Feeder'!B33</f>
        <v>336420.00000000006</v>
      </c>
      <c r="E34" s="15">
        <f>'North Valley Feeder'!B33</f>
        <v>336420.00000000006</v>
      </c>
      <c r="F34" s="15">
        <f>'Lake Feeder'!B33</f>
        <v>336420.00000000006</v>
      </c>
      <c r="G34" s="431">
        <f t="shared" si="0"/>
        <v>1632260.0000000002</v>
      </c>
      <c r="H34" s="15"/>
    </row>
    <row r="35" spans="1:8" s="436" customFormat="1" ht="16.95" customHeight="1" thickTop="1" thickBot="1" x14ac:dyDescent="0.35">
      <c r="A35" s="432" t="s">
        <v>249</v>
      </c>
      <c r="B35" s="433">
        <f t="shared" ref="B35:G35" si="2">SUM(B4:B34)</f>
        <v>7034202</v>
      </c>
      <c r="C35" s="433">
        <f t="shared" si="2"/>
        <v>2956330</v>
      </c>
      <c r="D35" s="433">
        <f t="shared" si="2"/>
        <v>3207366</v>
      </c>
      <c r="E35" s="433">
        <f t="shared" si="2"/>
        <v>2481588.4</v>
      </c>
      <c r="F35" s="433">
        <f t="shared" si="2"/>
        <v>2690770</v>
      </c>
      <c r="G35" s="434">
        <f t="shared" si="2"/>
        <v>18370256.400000002</v>
      </c>
      <c r="H35" s="435"/>
    </row>
    <row r="36" spans="1:8" s="256" customFormat="1" x14ac:dyDescent="0.3">
      <c r="B36" s="278"/>
      <c r="C36" s="278"/>
      <c r="D36" s="278"/>
      <c r="E36" s="278"/>
      <c r="F36" s="278"/>
      <c r="G36" s="278"/>
      <c r="H36" s="278"/>
    </row>
    <row r="37" spans="1:8" s="195" customFormat="1" ht="21" x14ac:dyDescent="0.4">
      <c r="A37" s="442" t="s">
        <v>297</v>
      </c>
      <c r="B37" s="442"/>
      <c r="C37" s="442"/>
      <c r="D37" s="442"/>
      <c r="E37" s="442"/>
      <c r="F37" s="442"/>
      <c r="G37" s="442"/>
      <c r="H37" s="194"/>
    </row>
    <row r="38" spans="1:8" s="175" customFormat="1" ht="31.2" x14ac:dyDescent="0.3">
      <c r="A38" s="175" t="s">
        <v>248</v>
      </c>
      <c r="B38" s="176" t="s">
        <v>200</v>
      </c>
      <c r="C38" s="176" t="s">
        <v>201</v>
      </c>
      <c r="D38" s="176" t="s">
        <v>296</v>
      </c>
      <c r="E38" s="176" t="s">
        <v>202</v>
      </c>
      <c r="F38" s="176" t="s">
        <v>203</v>
      </c>
      <c r="G38" s="176" t="s">
        <v>35</v>
      </c>
      <c r="H38" s="176" t="s">
        <v>211</v>
      </c>
    </row>
    <row r="39" spans="1:8" ht="18" customHeight="1" x14ac:dyDescent="0.3">
      <c r="A39" t="s">
        <v>59</v>
      </c>
      <c r="B39" s="2">
        <f>'I-5 Backbone'!C37</f>
        <v>675076.88258557208</v>
      </c>
      <c r="C39" s="2">
        <f>'Siskiyou Feeder'!C37</f>
        <v>379730.74645438429</v>
      </c>
      <c r="D39" s="2">
        <f>'Shasta Urban Feeder'!C37</f>
        <v>337538.44129278604</v>
      </c>
      <c r="E39" s="2">
        <f>'North Valley Feeder'!C37</f>
        <v>337538.44129278604</v>
      </c>
      <c r="F39" s="2">
        <f>'Lake Feeder'!C37</f>
        <v>187521.0993951998</v>
      </c>
      <c r="G39" s="294">
        <f>SUM(B39:F39)</f>
        <v>1917405.611020728</v>
      </c>
      <c r="H39" s="2">
        <f>(B39+C39+F39)/3</f>
        <v>414109.57614505198</v>
      </c>
    </row>
    <row r="40" spans="1:8" ht="18" customHeight="1" x14ac:dyDescent="0.3">
      <c r="A40" s="159" t="s">
        <v>213</v>
      </c>
      <c r="D40" s="2">
        <f>'Shasta Urban Feeder'!C36</f>
        <v>59696</v>
      </c>
      <c r="E40" s="2">
        <f>'North Valley Feeder'!C36</f>
        <v>62254.399999999994</v>
      </c>
      <c r="F40" s="2">
        <f>'Lake Feeder'!C36</f>
        <v>42640</v>
      </c>
      <c r="G40" s="294">
        <f>SUM(B40:F40)</f>
        <v>164590.39999999999</v>
      </c>
    </row>
    <row r="41" spans="1:8" ht="18" customHeight="1" x14ac:dyDescent="0.3">
      <c r="A41" t="s">
        <v>340</v>
      </c>
      <c r="B41" s="2">
        <f>'I-5 Backbone'!C35</f>
        <v>2500</v>
      </c>
      <c r="C41" s="2">
        <f>'Siskiyou Feeder'!C35</f>
        <v>2500</v>
      </c>
      <c r="D41" s="2">
        <f>'Shasta Urban Feeder'!C35</f>
        <v>2500</v>
      </c>
      <c r="E41" s="2">
        <f>'North Valley Feeder'!C35</f>
        <v>2500</v>
      </c>
      <c r="F41" s="2">
        <f>'Lake Feeder'!C35</f>
        <v>2500</v>
      </c>
      <c r="G41" s="294">
        <f t="shared" ref="G41:G42" si="3">SUM(B41:F41)</f>
        <v>12500</v>
      </c>
    </row>
    <row r="42" spans="1:8" s="11" customFormat="1" ht="18" customHeight="1" thickBot="1" x14ac:dyDescent="0.35">
      <c r="A42" s="11" t="s">
        <v>206</v>
      </c>
      <c r="B42" s="15">
        <f>'I-5 Backbone'!C34</f>
        <v>10000</v>
      </c>
      <c r="C42" s="15">
        <f>'Siskiyou Feeder'!C34</f>
        <v>10000</v>
      </c>
      <c r="D42" s="15">
        <v>10000</v>
      </c>
      <c r="E42" s="15">
        <v>10000</v>
      </c>
      <c r="F42" s="15">
        <v>10000</v>
      </c>
      <c r="G42" s="280">
        <f t="shared" si="3"/>
        <v>50000</v>
      </c>
      <c r="H42" s="15"/>
    </row>
    <row r="43" spans="1:8" s="173" customFormat="1" ht="15" thickTop="1" x14ac:dyDescent="0.3">
      <c r="B43" s="279">
        <f t="shared" ref="B43:G43" si="4">SUM(B39:B42)</f>
        <v>687576.88258557208</v>
      </c>
      <c r="C43" s="279">
        <f t="shared" si="4"/>
        <v>392230.74645438429</v>
      </c>
      <c r="D43" s="279">
        <f t="shared" si="4"/>
        <v>409734.44129278604</v>
      </c>
      <c r="E43" s="279">
        <f t="shared" si="4"/>
        <v>412292.84129278606</v>
      </c>
      <c r="F43" s="279">
        <f t="shared" si="4"/>
        <v>242661.0993951998</v>
      </c>
      <c r="G43" s="279">
        <f t="shared" si="4"/>
        <v>2144496.0110207279</v>
      </c>
      <c r="H43" s="279"/>
    </row>
    <row r="44" spans="1:8" s="256" customFormat="1" x14ac:dyDescent="0.3">
      <c r="B44" s="278"/>
      <c r="C44" s="278"/>
      <c r="D44" s="278"/>
      <c r="E44" s="278"/>
      <c r="F44" s="278"/>
      <c r="G44" s="278"/>
      <c r="H44" s="278"/>
    </row>
    <row r="46" spans="1:8" x14ac:dyDescent="0.3">
      <c r="G46" s="2">
        <f>G35+G43</f>
        <v>20514752.41102073</v>
      </c>
    </row>
    <row r="49" spans="1:7" s="324" customFormat="1" x14ac:dyDescent="0.3">
      <c r="A49" s="323" t="s">
        <v>361</v>
      </c>
      <c r="C49" s="324">
        <f>C43/$B$43</f>
        <v>0.57045365600343523</v>
      </c>
      <c r="D49" s="324">
        <f>D43/$B$43</f>
        <v>0.59591072892389274</v>
      </c>
      <c r="E49" s="324">
        <f>E43/$B$43</f>
        <v>0.59963162191025865</v>
      </c>
      <c r="F49" s="324">
        <f>$C$43/E43</f>
        <v>0.95134018147029908</v>
      </c>
    </row>
    <row r="50" spans="1:7" s="323" customFormat="1" x14ac:dyDescent="0.3">
      <c r="A50" s="323" t="s">
        <v>362</v>
      </c>
      <c r="B50" s="323">
        <v>0.37</v>
      </c>
      <c r="C50" s="323">
        <f>C43/$G$43</f>
        <v>0.18290113128617666</v>
      </c>
      <c r="D50" s="323">
        <f>D43/$G$43</f>
        <v>0.19106327975763518</v>
      </c>
      <c r="E50" s="323">
        <f>E43/$G$43</f>
        <v>0.19225628733930109</v>
      </c>
      <c r="F50" s="323">
        <f>F43/$G$43</f>
        <v>0.11315530462549055</v>
      </c>
      <c r="G50" s="323">
        <f>SUM(B50:F50)</f>
        <v>1.0493760030086035</v>
      </c>
    </row>
    <row r="51" spans="1:7" x14ac:dyDescent="0.3">
      <c r="D51" s="2" t="s">
        <v>363</v>
      </c>
    </row>
    <row r="1047218" spans="2:7" x14ac:dyDescent="0.3">
      <c r="B1047218" s="2">
        <f>SUM(B4:B1047217)</f>
        <v>15443558.135171143</v>
      </c>
      <c r="G1047218" s="2">
        <f>SUM(B1047218:F1048576)</f>
        <v>15443558.135171143</v>
      </c>
    </row>
  </sheetData>
  <mergeCells count="2">
    <mergeCell ref="A37:G37"/>
    <mergeCell ref="A2:G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zoomScale="90" zoomScaleNormal="90" workbookViewId="0">
      <selection activeCell="K7" sqref="K4:K7"/>
    </sheetView>
    <sheetView workbookViewId="1">
      <selection sqref="A1:J1"/>
    </sheetView>
  </sheetViews>
  <sheetFormatPr defaultRowHeight="14.4" x14ac:dyDescent="0.3"/>
  <cols>
    <col min="1" max="1" width="61.33203125" customWidth="1"/>
    <col min="2" max="3" width="16.33203125" customWidth="1"/>
    <col min="4" max="4" width="17.88671875" style="5" customWidth="1"/>
    <col min="5" max="5" width="12" style="4" customWidth="1"/>
    <col min="6" max="6" width="14.109375" style="2" customWidth="1"/>
    <col min="7" max="7" width="14.33203125" style="2" customWidth="1"/>
    <col min="8" max="8" width="17.6640625" style="1" customWidth="1"/>
    <col min="9" max="10" width="15.33203125" style="1" customWidth="1"/>
    <col min="11" max="11" width="15.6640625" style="1" customWidth="1"/>
    <col min="12" max="15" width="15.33203125" customWidth="1"/>
    <col min="16" max="17" width="17.6640625" customWidth="1"/>
    <col min="18" max="18" width="15.44140625" customWidth="1"/>
  </cols>
  <sheetData>
    <row r="1" spans="1:14" s="18" customFormat="1" ht="18.600000000000001" thickBot="1" x14ac:dyDescent="0.4">
      <c r="A1" s="446" t="s">
        <v>149</v>
      </c>
      <c r="B1" s="446"/>
      <c r="C1" s="446"/>
      <c r="D1" s="446"/>
      <c r="E1" s="446"/>
      <c r="F1" s="446"/>
      <c r="G1" s="446"/>
      <c r="H1" s="446"/>
      <c r="I1" s="446"/>
      <c r="J1" s="446"/>
      <c r="K1" s="19"/>
    </row>
    <row r="2" spans="1:14" s="87" customFormat="1" ht="18" x14ac:dyDescent="0.35">
      <c r="A2" s="449" t="s">
        <v>82</v>
      </c>
      <c r="B2" s="450"/>
      <c r="C2" s="450"/>
      <c r="D2" s="450"/>
      <c r="E2" s="450"/>
      <c r="F2" s="450"/>
      <c r="G2" s="450"/>
      <c r="H2" s="450"/>
      <c r="I2" s="450"/>
      <c r="J2" s="450"/>
      <c r="K2" s="86"/>
    </row>
    <row r="3" spans="1:14" s="92" customFormat="1" ht="29.4" thickBot="1" x14ac:dyDescent="0.35">
      <c r="A3" s="88" t="s">
        <v>3</v>
      </c>
      <c r="B3" s="89" t="s">
        <v>58</v>
      </c>
      <c r="C3" s="90" t="s">
        <v>60</v>
      </c>
      <c r="D3" s="91" t="s">
        <v>57</v>
      </c>
      <c r="E3" s="92" t="s">
        <v>34</v>
      </c>
      <c r="F3" s="90" t="s">
        <v>53</v>
      </c>
      <c r="G3" s="90" t="s">
        <v>56</v>
      </c>
      <c r="H3" s="90" t="s">
        <v>306</v>
      </c>
      <c r="I3" s="92" t="s">
        <v>55</v>
      </c>
      <c r="J3" s="90" t="s">
        <v>54</v>
      </c>
    </row>
    <row r="4" spans="1:14" x14ac:dyDescent="0.3">
      <c r="A4" t="s">
        <v>182</v>
      </c>
      <c r="B4" s="2">
        <f>D4*E4</f>
        <v>3750000</v>
      </c>
      <c r="C4" s="1"/>
      <c r="D4" s="5">
        <v>750000</v>
      </c>
      <c r="E4" s="4">
        <v>5</v>
      </c>
      <c r="F4" s="8"/>
      <c r="G4" s="8"/>
      <c r="H4" s="8"/>
      <c r="I4" s="50"/>
      <c r="K4" s="1" t="s">
        <v>281</v>
      </c>
    </row>
    <row r="5" spans="1:14" x14ac:dyDescent="0.3">
      <c r="A5" t="s">
        <v>44</v>
      </c>
      <c r="B5" s="235">
        <f>B43</f>
        <v>160000</v>
      </c>
      <c r="C5" s="1"/>
      <c r="E5" s="221"/>
      <c r="I5" s="49"/>
      <c r="K5" s="1" t="s">
        <v>431</v>
      </c>
    </row>
    <row r="6" spans="1:14" x14ac:dyDescent="0.3">
      <c r="A6" t="s">
        <v>45</v>
      </c>
      <c r="B6" s="235">
        <f t="shared" ref="B6:B9" si="0">B44</f>
        <v>50000</v>
      </c>
      <c r="C6" s="1"/>
      <c r="E6" s="221"/>
      <c r="I6" s="49"/>
      <c r="K6" s="1" t="s">
        <v>431</v>
      </c>
    </row>
    <row r="7" spans="1:14" x14ac:dyDescent="0.3">
      <c r="A7" t="s">
        <v>46</v>
      </c>
      <c r="B7" s="235">
        <f t="shared" si="0"/>
        <v>325000</v>
      </c>
      <c r="C7" s="1"/>
      <c r="E7" s="221"/>
      <c r="I7" s="49"/>
      <c r="K7" s="1" t="s">
        <v>434</v>
      </c>
    </row>
    <row r="8" spans="1:14" x14ac:dyDescent="0.3">
      <c r="A8" t="s">
        <v>47</v>
      </c>
      <c r="B8" s="235">
        <f t="shared" si="0"/>
        <v>20000</v>
      </c>
      <c r="C8" s="1"/>
      <c r="E8" s="221"/>
      <c r="I8" s="49"/>
      <c r="K8" s="1" t="s">
        <v>433</v>
      </c>
    </row>
    <row r="9" spans="1:14" x14ac:dyDescent="0.3">
      <c r="A9" t="s">
        <v>216</v>
      </c>
      <c r="B9" s="235">
        <f t="shared" si="0"/>
        <v>978000</v>
      </c>
      <c r="C9" s="1"/>
      <c r="E9" s="221"/>
      <c r="I9" s="49"/>
      <c r="K9" s="1" t="s">
        <v>432</v>
      </c>
    </row>
    <row r="10" spans="1:14" x14ac:dyDescent="0.3">
      <c r="A10" t="s">
        <v>191</v>
      </c>
      <c r="B10" s="2">
        <f>D10*E10</f>
        <v>550000</v>
      </c>
      <c r="C10" s="1"/>
      <c r="D10" s="5">
        <v>110000</v>
      </c>
      <c r="E10" s="103">
        <v>5</v>
      </c>
      <c r="F10" s="8"/>
      <c r="G10" s="8"/>
      <c r="H10" s="8"/>
      <c r="I10" s="50"/>
      <c r="K10" s="1" t="s">
        <v>405</v>
      </c>
    </row>
    <row r="11" spans="1:14" x14ac:dyDescent="0.3">
      <c r="A11" t="s">
        <v>412</v>
      </c>
      <c r="B11" s="338">
        <f>I11*D11</f>
        <v>290832</v>
      </c>
      <c r="D11" s="5">
        <v>0.6</v>
      </c>
      <c r="E11" s="4">
        <v>166</v>
      </c>
      <c r="F11" s="8">
        <v>8</v>
      </c>
      <c r="G11" s="8">
        <f>F11*E11</f>
        <v>1328</v>
      </c>
      <c r="H11" s="8">
        <v>365</v>
      </c>
      <c r="I11" s="50">
        <f>H11*G11</f>
        <v>484720</v>
      </c>
      <c r="J11" s="1">
        <f>D11*G11</f>
        <v>796.8</v>
      </c>
      <c r="K11" s="1" t="s">
        <v>406</v>
      </c>
    </row>
    <row r="12" spans="1:14" x14ac:dyDescent="0.3">
      <c r="A12" t="s">
        <v>280</v>
      </c>
      <c r="B12" s="2">
        <f>'E Bus Fleet'!L9</f>
        <v>84500</v>
      </c>
      <c r="C12" s="1"/>
      <c r="E12" s="154">
        <v>5</v>
      </c>
      <c r="F12" s="8"/>
      <c r="G12" s="8"/>
      <c r="H12" s="8"/>
      <c r="I12" s="50"/>
      <c r="K12" s="1" t="s">
        <v>304</v>
      </c>
    </row>
    <row r="13" spans="1:14" x14ac:dyDescent="0.3">
      <c r="A13" t="s">
        <v>38</v>
      </c>
      <c r="B13" s="2">
        <f>C63</f>
        <v>26400</v>
      </c>
      <c r="C13" s="1"/>
      <c r="E13" s="103"/>
      <c r="F13" s="8"/>
      <c r="G13" s="8"/>
      <c r="H13" s="8"/>
      <c r="I13" s="50"/>
      <c r="K13" s="1" t="s">
        <v>285</v>
      </c>
    </row>
    <row r="14" spans="1:14" x14ac:dyDescent="0.3">
      <c r="A14" t="s">
        <v>209</v>
      </c>
      <c r="B14" s="2">
        <f>C62</f>
        <v>48000</v>
      </c>
      <c r="C14" s="1"/>
      <c r="E14" s="156"/>
      <c r="F14" s="8"/>
      <c r="G14" s="8"/>
      <c r="H14" s="8"/>
      <c r="I14" s="50"/>
      <c r="K14" s="1" t="s">
        <v>286</v>
      </c>
    </row>
    <row r="15" spans="1:14" x14ac:dyDescent="0.3">
      <c r="A15" t="s">
        <v>188</v>
      </c>
      <c r="B15" s="2">
        <v>50000</v>
      </c>
      <c r="C15" s="1"/>
      <c r="E15" s="103"/>
      <c r="F15" s="8"/>
      <c r="G15" s="8"/>
      <c r="H15" s="8"/>
      <c r="I15" s="50"/>
      <c r="K15" s="1" t="s">
        <v>287</v>
      </c>
    </row>
    <row r="16" spans="1:14" s="159" customFormat="1" x14ac:dyDescent="0.3">
      <c r="A16" s="371" t="s">
        <v>207</v>
      </c>
      <c r="B16" s="160">
        <v>218400</v>
      </c>
      <c r="C16" s="161"/>
      <c r="D16" s="162"/>
      <c r="E16" s="163"/>
      <c r="F16" s="164"/>
      <c r="G16" s="164"/>
      <c r="H16" s="164"/>
      <c r="I16" s="165"/>
      <c r="J16" s="161"/>
      <c r="K16" s="161" t="s">
        <v>410</v>
      </c>
      <c r="N16" t="s">
        <v>408</v>
      </c>
    </row>
    <row r="17" spans="1:11" s="159" customFormat="1" x14ac:dyDescent="0.3">
      <c r="A17" s="157" t="s">
        <v>205</v>
      </c>
      <c r="B17" s="160">
        <v>50000</v>
      </c>
      <c r="C17" s="161">
        <v>0</v>
      </c>
      <c r="D17" s="162"/>
      <c r="E17" s="163"/>
      <c r="F17" s="164"/>
      <c r="G17" s="164"/>
      <c r="H17" s="164"/>
      <c r="I17" s="165"/>
      <c r="J17" s="161"/>
      <c r="K17" s="161" t="s">
        <v>409</v>
      </c>
    </row>
    <row r="18" spans="1:11" s="159" customFormat="1" x14ac:dyDescent="0.3">
      <c r="A18" s="157" t="s">
        <v>407</v>
      </c>
      <c r="B18" s="160">
        <v>58400</v>
      </c>
      <c r="C18" s="161"/>
      <c r="D18" s="162"/>
      <c r="E18" s="163"/>
      <c r="F18" s="164"/>
      <c r="G18" s="164"/>
      <c r="H18" s="164"/>
      <c r="I18" s="165"/>
      <c r="J18" s="161"/>
    </row>
    <row r="19" spans="1:11" s="159" customFormat="1" x14ac:dyDescent="0.3">
      <c r="A19" t="s">
        <v>199</v>
      </c>
      <c r="B19" s="160">
        <v>0</v>
      </c>
      <c r="C19" s="161">
        <v>0</v>
      </c>
      <c r="D19" s="162"/>
      <c r="E19" s="163"/>
      <c r="F19" s="164"/>
      <c r="G19" s="164"/>
      <c r="H19" s="164"/>
      <c r="I19" s="165"/>
      <c r="J19" s="161"/>
      <c r="K19" s="161"/>
    </row>
    <row r="20" spans="1:11" s="159" customFormat="1" x14ac:dyDescent="0.3">
      <c r="A20" t="s">
        <v>40</v>
      </c>
      <c r="B20" s="160">
        <v>0</v>
      </c>
      <c r="C20" s="161">
        <v>0</v>
      </c>
      <c r="D20" s="162"/>
      <c r="E20" s="163"/>
      <c r="F20" s="164"/>
      <c r="G20" s="164"/>
      <c r="H20" s="164"/>
      <c r="I20" s="165"/>
      <c r="J20" s="161"/>
      <c r="K20" s="161"/>
    </row>
    <row r="21" spans="1:11" s="159" customFormat="1" x14ac:dyDescent="0.3">
      <c r="A21" t="s">
        <v>37</v>
      </c>
      <c r="B21" s="160">
        <v>0</v>
      </c>
      <c r="C21" s="161">
        <v>0</v>
      </c>
      <c r="D21" s="162"/>
      <c r="E21" s="163"/>
      <c r="F21" s="164"/>
      <c r="G21" s="164"/>
      <c r="H21" s="164"/>
      <c r="I21" s="165"/>
      <c r="J21" s="161"/>
      <c r="K21" s="161"/>
    </row>
    <row r="22" spans="1:11" s="159" customFormat="1" x14ac:dyDescent="0.3">
      <c r="A22" t="s">
        <v>2</v>
      </c>
      <c r="B22" s="160">
        <v>0</v>
      </c>
      <c r="C22" s="161">
        <v>0</v>
      </c>
      <c r="D22" s="162"/>
      <c r="E22" s="163"/>
      <c r="F22" s="164"/>
      <c r="G22" s="164"/>
      <c r="H22" s="164"/>
      <c r="I22" s="165"/>
      <c r="J22" s="161"/>
      <c r="K22" s="161"/>
    </row>
    <row r="23" spans="1:11" s="159" customFormat="1" x14ac:dyDescent="0.3">
      <c r="A23" t="s">
        <v>0</v>
      </c>
      <c r="B23" s="160">
        <v>0</v>
      </c>
      <c r="C23" s="161">
        <v>0</v>
      </c>
      <c r="D23" s="162"/>
      <c r="E23" s="163"/>
      <c r="F23" s="164"/>
      <c r="G23" s="164"/>
      <c r="H23" s="164"/>
      <c r="I23" s="165"/>
      <c r="J23" s="161"/>
      <c r="K23" s="161"/>
    </row>
    <row r="24" spans="1:11" s="159" customFormat="1" x14ac:dyDescent="0.3">
      <c r="A24" t="s">
        <v>42</v>
      </c>
      <c r="B24" s="160">
        <v>0</v>
      </c>
      <c r="C24" s="161">
        <v>0</v>
      </c>
      <c r="D24" s="162"/>
      <c r="E24" s="163"/>
      <c r="F24" s="164"/>
      <c r="G24" s="164"/>
      <c r="H24" s="164"/>
      <c r="I24" s="165"/>
      <c r="J24" s="161"/>
      <c r="K24" s="161"/>
    </row>
    <row r="25" spans="1:11" s="159" customFormat="1" x14ac:dyDescent="0.3">
      <c r="A25" t="s">
        <v>43</v>
      </c>
      <c r="B25" s="160">
        <v>0</v>
      </c>
      <c r="C25" s="161">
        <v>0</v>
      </c>
      <c r="D25" s="162"/>
      <c r="E25" s="163"/>
      <c r="F25" s="164"/>
      <c r="G25" s="164"/>
      <c r="H25" s="164"/>
      <c r="I25" s="165"/>
      <c r="J25" s="161"/>
      <c r="K25" s="161"/>
    </row>
    <row r="26" spans="1:11" s="159" customFormat="1" x14ac:dyDescent="0.3">
      <c r="A26" t="s">
        <v>41</v>
      </c>
      <c r="B26" s="160">
        <v>0</v>
      </c>
      <c r="C26" s="161">
        <v>0</v>
      </c>
      <c r="D26" s="162"/>
      <c r="E26" s="163"/>
      <c r="F26" s="164"/>
      <c r="G26" s="164"/>
      <c r="H26" s="164"/>
      <c r="I26" s="165"/>
      <c r="J26" s="161"/>
      <c r="K26" s="161"/>
    </row>
    <row r="27" spans="1:11" s="159" customFormat="1" x14ac:dyDescent="0.3">
      <c r="A27" t="s">
        <v>206</v>
      </c>
      <c r="B27" s="160">
        <v>0</v>
      </c>
      <c r="C27" s="161">
        <v>0</v>
      </c>
      <c r="D27" s="162"/>
      <c r="E27" s="163"/>
      <c r="F27" s="164"/>
      <c r="G27" s="164"/>
      <c r="H27" s="164"/>
      <c r="I27" s="165"/>
      <c r="J27" s="161"/>
      <c r="K27" s="161"/>
    </row>
    <row r="28" spans="1:11" s="159" customFormat="1" x14ac:dyDescent="0.3">
      <c r="A28" s="159" t="s">
        <v>1</v>
      </c>
      <c r="B28" s="160">
        <v>0</v>
      </c>
      <c r="C28" s="161">
        <v>0</v>
      </c>
      <c r="D28" s="162"/>
      <c r="E28" s="163"/>
      <c r="F28" s="164"/>
      <c r="G28" s="164"/>
      <c r="H28" s="164"/>
      <c r="I28" s="165"/>
      <c r="J28" s="161"/>
      <c r="K28" s="161"/>
    </row>
    <row r="29" spans="1:11" s="159" customFormat="1" x14ac:dyDescent="0.3">
      <c r="A29" s="157" t="s">
        <v>354</v>
      </c>
      <c r="B29" s="160">
        <f>'Implementation Costs'!B7</f>
        <v>31050</v>
      </c>
      <c r="C29" s="161"/>
      <c r="D29" s="162"/>
      <c r="E29" s="163"/>
      <c r="F29" s="164"/>
      <c r="G29" s="164"/>
      <c r="H29" s="164"/>
      <c r="I29" s="165"/>
      <c r="J29" s="161"/>
      <c r="K29" s="161"/>
    </row>
    <row r="30" spans="1:11" s="159" customFormat="1" x14ac:dyDescent="0.3">
      <c r="A30" s="28" t="s">
        <v>355</v>
      </c>
      <c r="B30" s="160">
        <f>'Implementation Costs'!B8</f>
        <v>8280</v>
      </c>
      <c r="C30" s="161"/>
      <c r="D30" s="162"/>
      <c r="E30" s="163"/>
      <c r="F30" s="164"/>
      <c r="G30" s="164"/>
      <c r="H30" s="164"/>
      <c r="I30" s="165"/>
      <c r="J30" s="161"/>
      <c r="K30" s="161"/>
    </row>
    <row r="31" spans="1:11" s="159" customFormat="1" x14ac:dyDescent="0.3">
      <c r="A31" s="28" t="s">
        <v>356</v>
      </c>
      <c r="B31" s="160">
        <f>'Implementation Costs'!B9</f>
        <v>4600</v>
      </c>
      <c r="C31" s="161"/>
      <c r="D31" s="162"/>
      <c r="E31" s="163"/>
      <c r="F31" s="164"/>
      <c r="G31" s="164"/>
      <c r="H31" s="164"/>
      <c r="I31" s="165"/>
      <c r="J31" s="161"/>
      <c r="K31" s="161"/>
    </row>
    <row r="32" spans="1:11" s="159" customFormat="1" x14ac:dyDescent="0.3">
      <c r="A32" s="28" t="s">
        <v>358</v>
      </c>
      <c r="B32" s="160">
        <f>'Implementation Costs'!B10</f>
        <v>44160</v>
      </c>
      <c r="C32" s="161"/>
      <c r="D32" s="162"/>
      <c r="E32" s="163"/>
      <c r="F32" s="164"/>
      <c r="G32" s="164"/>
      <c r="H32" s="164"/>
      <c r="I32" s="165"/>
      <c r="J32" s="161"/>
      <c r="K32" s="161"/>
    </row>
    <row r="33" spans="1:15" s="159" customFormat="1" x14ac:dyDescent="0.3">
      <c r="A33" s="157" t="s">
        <v>208</v>
      </c>
      <c r="B33" s="160">
        <f>'Implementation Costs'!B11</f>
        <v>286580.00000000006</v>
      </c>
      <c r="C33" s="161">
        <v>0</v>
      </c>
      <c r="D33" s="162"/>
      <c r="E33" s="163"/>
      <c r="F33" s="164"/>
      <c r="G33" s="164"/>
      <c r="H33" s="164"/>
      <c r="I33" s="165"/>
      <c r="J33" s="161"/>
      <c r="K33" s="161"/>
    </row>
    <row r="34" spans="1:15" s="159" customFormat="1" x14ac:dyDescent="0.3">
      <c r="A34" s="157" t="s">
        <v>206</v>
      </c>
      <c r="B34" s="160"/>
      <c r="C34" s="161">
        <v>10000</v>
      </c>
      <c r="D34" s="162"/>
      <c r="E34" s="163"/>
      <c r="F34" s="164"/>
      <c r="G34" s="164"/>
      <c r="H34" s="164"/>
      <c r="I34" s="165"/>
      <c r="J34" s="161"/>
      <c r="K34" s="161" t="s">
        <v>410</v>
      </c>
    </row>
    <row r="35" spans="1:15" x14ac:dyDescent="0.3">
      <c r="A35" t="s">
        <v>212</v>
      </c>
      <c r="B35" s="2"/>
      <c r="C35" s="1">
        <v>2500</v>
      </c>
      <c r="E35" s="166"/>
      <c r="F35" s="8"/>
      <c r="G35" s="8"/>
      <c r="H35" s="8"/>
      <c r="I35" s="50"/>
      <c r="K35" s="1" t="s">
        <v>430</v>
      </c>
    </row>
    <row r="36" spans="1:15" s="159" customFormat="1" x14ac:dyDescent="0.3">
      <c r="A36" s="159" t="s">
        <v>213</v>
      </c>
      <c r="B36" s="160"/>
      <c r="C36" s="161"/>
      <c r="D36" s="162">
        <v>0.41</v>
      </c>
      <c r="E36" s="163">
        <v>166</v>
      </c>
      <c r="F36" s="164">
        <v>8</v>
      </c>
      <c r="G36" s="164">
        <f>F36*E36</f>
        <v>1328</v>
      </c>
      <c r="H36" s="164">
        <v>365</v>
      </c>
      <c r="I36" s="165">
        <f>H36*G36</f>
        <v>484720</v>
      </c>
      <c r="J36" s="161">
        <f>D36*G36</f>
        <v>544.48</v>
      </c>
      <c r="K36" s="161" t="s">
        <v>288</v>
      </c>
    </row>
    <row r="37" spans="1:15" x14ac:dyDescent="0.3">
      <c r="A37" t="s">
        <v>183</v>
      </c>
      <c r="B37" s="160">
        <v>0</v>
      </c>
      <c r="C37" s="52">
        <f>'Operating Cost Calcs'!B17</f>
        <v>675076.88258557208</v>
      </c>
      <c r="I37" s="51"/>
      <c r="K37" s="1" t="s">
        <v>283</v>
      </c>
    </row>
    <row r="38" spans="1:15" s="234" customFormat="1" ht="15.6" x14ac:dyDescent="0.3">
      <c r="A38" s="227" t="s">
        <v>197</v>
      </c>
      <c r="B38" s="228">
        <f>SUM(B4:B37)</f>
        <v>7034202</v>
      </c>
      <c r="C38" s="229">
        <f>SUM(C4:C37)</f>
        <v>687576.88258557208</v>
      </c>
      <c r="D38" s="230"/>
      <c r="E38" s="231"/>
      <c r="F38" s="232"/>
      <c r="G38" s="232"/>
      <c r="H38" s="233"/>
      <c r="I38" s="233"/>
      <c r="J38" s="233"/>
      <c r="K38" s="233"/>
    </row>
    <row r="39" spans="1:15" s="63" customFormat="1" x14ac:dyDescent="0.3">
      <c r="A39" s="97"/>
      <c r="B39" s="98"/>
      <c r="C39" s="99"/>
      <c r="D39" s="100"/>
      <c r="E39" s="71"/>
      <c r="F39" s="101"/>
      <c r="G39" s="101"/>
      <c r="H39" s="102"/>
      <c r="I39" s="102"/>
      <c r="J39" s="102"/>
      <c r="K39" s="102"/>
    </row>
    <row r="40" spans="1:15" s="70" customFormat="1" ht="18.600000000000001" thickBot="1" x14ac:dyDescent="0.4">
      <c r="A40" s="446" t="s">
        <v>181</v>
      </c>
      <c r="B40" s="446"/>
      <c r="C40" s="446"/>
      <c r="D40" s="446"/>
      <c r="E40" s="446"/>
      <c r="F40" s="446"/>
      <c r="G40" s="446"/>
      <c r="H40" s="446"/>
      <c r="I40" s="446"/>
      <c r="J40" s="446"/>
      <c r="K40" s="446"/>
      <c r="L40" s="451" t="s">
        <v>146</v>
      </c>
      <c r="M40" s="451"/>
      <c r="N40" s="451"/>
    </row>
    <row r="41" spans="1:15" s="93" customFormat="1" x14ac:dyDescent="0.3">
      <c r="A41" s="447" t="s">
        <v>39</v>
      </c>
      <c r="D41" s="20" t="s">
        <v>66</v>
      </c>
      <c r="E41" s="21" t="s">
        <v>67</v>
      </c>
      <c r="F41" s="21" t="s">
        <v>68</v>
      </c>
      <c r="G41" s="21" t="s">
        <v>71</v>
      </c>
      <c r="H41" s="21" t="s">
        <v>71</v>
      </c>
      <c r="I41" s="21" t="s">
        <v>71</v>
      </c>
      <c r="J41" s="21" t="s">
        <v>71</v>
      </c>
      <c r="K41" s="22" t="s">
        <v>66</v>
      </c>
      <c r="L41" s="72" t="s">
        <v>71</v>
      </c>
      <c r="M41" s="72" t="s">
        <v>66</v>
      </c>
      <c r="N41" s="72" t="s">
        <v>68</v>
      </c>
    </row>
    <row r="42" spans="1:15" s="94" customFormat="1" ht="15" thickBot="1" x14ac:dyDescent="0.35">
      <c r="A42" s="448"/>
      <c r="D42" s="23" t="s">
        <v>72</v>
      </c>
      <c r="E42" s="24" t="s">
        <v>74</v>
      </c>
      <c r="F42" s="24" t="s">
        <v>145</v>
      </c>
      <c r="G42" s="24" t="s">
        <v>69</v>
      </c>
      <c r="H42" s="24" t="s">
        <v>70</v>
      </c>
      <c r="I42" s="24" t="s">
        <v>76</v>
      </c>
      <c r="J42" s="24" t="s">
        <v>78</v>
      </c>
      <c r="K42" s="25" t="s">
        <v>79</v>
      </c>
      <c r="L42" s="73" t="s">
        <v>77</v>
      </c>
      <c r="M42" s="73" t="s">
        <v>73</v>
      </c>
      <c r="N42" s="73" t="s">
        <v>75</v>
      </c>
    </row>
    <row r="43" spans="1:15" s="236" customFormat="1" ht="15" customHeight="1" x14ac:dyDescent="0.3">
      <c r="A43" s="236" t="s">
        <v>44</v>
      </c>
      <c r="B43" s="237">
        <f>SUM(D43:K43)</f>
        <v>160000</v>
      </c>
      <c r="C43" s="238"/>
      <c r="D43" s="239"/>
      <c r="E43" s="240"/>
      <c r="F43" s="240"/>
      <c r="G43" s="240"/>
      <c r="H43" s="240"/>
      <c r="I43" s="240"/>
      <c r="J43" s="240">
        <v>80000</v>
      </c>
      <c r="K43" s="241">
        <v>80000</v>
      </c>
      <c r="L43" s="240"/>
      <c r="M43" s="240">
        <v>80000</v>
      </c>
      <c r="N43" s="240"/>
    </row>
    <row r="44" spans="1:15" s="236" customFormat="1" ht="15" customHeight="1" x14ac:dyDescent="0.3">
      <c r="A44" s="236" t="s">
        <v>45</v>
      </c>
      <c r="B44" s="238">
        <f t="shared" ref="B44:B59" si="1">SUM(D44:K44)</f>
        <v>50000</v>
      </c>
      <c r="C44" s="238"/>
      <c r="D44" s="239">
        <v>25000</v>
      </c>
      <c r="E44" s="240"/>
      <c r="F44" s="240">
        <v>25000</v>
      </c>
      <c r="G44" s="240"/>
      <c r="H44" s="240"/>
      <c r="I44" s="240"/>
      <c r="J44" s="240"/>
      <c r="K44" s="242"/>
      <c r="L44" s="240"/>
      <c r="M44" s="240"/>
      <c r="N44" s="240"/>
    </row>
    <row r="45" spans="1:15" s="236" customFormat="1" ht="15" customHeight="1" x14ac:dyDescent="0.3">
      <c r="A45" s="236" t="s">
        <v>46</v>
      </c>
      <c r="B45" s="238">
        <f t="shared" si="1"/>
        <v>325000</v>
      </c>
      <c r="C45" s="238"/>
      <c r="D45" s="243">
        <v>25000</v>
      </c>
      <c r="E45" s="240"/>
      <c r="F45" s="240">
        <v>75000</v>
      </c>
      <c r="G45" s="240"/>
      <c r="H45" s="240"/>
      <c r="I45" s="240"/>
      <c r="J45" s="240">
        <v>200000</v>
      </c>
      <c r="K45" s="242">
        <v>25000</v>
      </c>
      <c r="L45" s="240"/>
      <c r="M45" s="240">
        <v>25000</v>
      </c>
      <c r="N45" s="240"/>
      <c r="O45" s="236" t="s">
        <v>305</v>
      </c>
    </row>
    <row r="46" spans="1:15" s="236" customFormat="1" ht="15" customHeight="1" x14ac:dyDescent="0.3">
      <c r="A46" s="236" t="s">
        <v>47</v>
      </c>
      <c r="B46" s="238">
        <f t="shared" si="1"/>
        <v>20000</v>
      </c>
      <c r="C46" s="238"/>
      <c r="D46" s="239"/>
      <c r="E46" s="240"/>
      <c r="F46" s="240">
        <v>20000</v>
      </c>
      <c r="G46" s="240"/>
      <c r="H46" s="240"/>
      <c r="I46" s="240"/>
      <c r="J46" s="240"/>
      <c r="K46" s="244"/>
      <c r="L46" s="240"/>
      <c r="M46" s="240">
        <v>10000</v>
      </c>
      <c r="N46" s="240"/>
    </row>
    <row r="47" spans="1:15" s="236" customFormat="1" ht="15" customHeight="1" x14ac:dyDescent="0.3">
      <c r="A47" s="236" t="s">
        <v>216</v>
      </c>
      <c r="B47" s="238">
        <f>SUM(D47:K47)</f>
        <v>978000</v>
      </c>
      <c r="C47" s="238"/>
      <c r="D47" s="239"/>
      <c r="E47" s="240"/>
      <c r="F47" s="240"/>
      <c r="G47" s="240"/>
      <c r="H47" s="240"/>
      <c r="I47" s="240"/>
      <c r="J47" s="240"/>
      <c r="K47" s="242">
        <v>978000</v>
      </c>
      <c r="L47" s="240"/>
      <c r="M47" s="240"/>
      <c r="N47" s="240"/>
    </row>
    <row r="48" spans="1:15" s="236" customFormat="1" ht="15" customHeight="1" x14ac:dyDescent="0.3">
      <c r="A48" s="236" t="s">
        <v>199</v>
      </c>
      <c r="B48" s="238">
        <f t="shared" ref="B48" si="2">SUM(D48:K48)</f>
        <v>0</v>
      </c>
      <c r="C48" s="238"/>
      <c r="D48" s="239"/>
      <c r="E48" s="240"/>
      <c r="F48" s="240"/>
      <c r="G48" s="240"/>
      <c r="H48" s="240"/>
      <c r="I48" s="240"/>
      <c r="J48" s="240"/>
      <c r="K48" s="244"/>
      <c r="L48" s="240"/>
      <c r="M48" s="240">
        <v>10000</v>
      </c>
      <c r="N48" s="240"/>
    </row>
    <row r="49" spans="1:14" s="236" customFormat="1" ht="15" customHeight="1" x14ac:dyDescent="0.3">
      <c r="A49" s="236" t="s">
        <v>40</v>
      </c>
      <c r="B49" s="238">
        <f t="shared" si="1"/>
        <v>0</v>
      </c>
      <c r="C49" s="238"/>
      <c r="D49" s="239"/>
      <c r="E49" s="240"/>
      <c r="F49" s="240"/>
      <c r="G49" s="240"/>
      <c r="H49" s="240"/>
      <c r="I49" s="240"/>
      <c r="J49" s="240"/>
      <c r="K49" s="242"/>
      <c r="L49" s="240"/>
      <c r="M49" s="240"/>
      <c r="N49" s="240"/>
    </row>
    <row r="50" spans="1:14" s="236" customFormat="1" ht="15" customHeight="1" x14ac:dyDescent="0.3">
      <c r="A50" s="236" t="s">
        <v>38</v>
      </c>
      <c r="B50" s="238">
        <f t="shared" si="1"/>
        <v>0</v>
      </c>
      <c r="C50" s="238"/>
      <c r="D50" s="239"/>
      <c r="E50" s="240"/>
      <c r="F50" s="240"/>
      <c r="G50" s="240"/>
      <c r="H50" s="240"/>
      <c r="I50" s="240"/>
      <c r="J50" s="240"/>
      <c r="K50" s="242"/>
      <c r="L50" s="240"/>
      <c r="M50" s="240"/>
      <c r="N50" s="240"/>
    </row>
    <row r="51" spans="1:14" s="236" customFormat="1" ht="15" customHeight="1" x14ac:dyDescent="0.3">
      <c r="A51" s="236" t="s">
        <v>37</v>
      </c>
      <c r="B51" s="238">
        <f t="shared" si="1"/>
        <v>0</v>
      </c>
      <c r="C51" s="238"/>
      <c r="D51" s="239"/>
      <c r="E51" s="240"/>
      <c r="F51" s="240"/>
      <c r="G51" s="240"/>
      <c r="H51" s="240"/>
      <c r="I51" s="240"/>
      <c r="J51" s="240"/>
      <c r="K51" s="242"/>
      <c r="L51" s="240"/>
      <c r="M51" s="240"/>
      <c r="N51" s="240"/>
    </row>
    <row r="52" spans="1:14" s="236" customFormat="1" ht="15" customHeight="1" x14ac:dyDescent="0.3">
      <c r="A52" s="236" t="s">
        <v>2</v>
      </c>
      <c r="B52" s="238">
        <f t="shared" si="1"/>
        <v>0</v>
      </c>
      <c r="C52" s="238"/>
      <c r="D52" s="239"/>
      <c r="E52" s="240"/>
      <c r="F52" s="240"/>
      <c r="G52" s="240"/>
      <c r="H52" s="240"/>
      <c r="I52" s="240"/>
      <c r="J52" s="240"/>
      <c r="K52" s="242"/>
      <c r="L52" s="240"/>
      <c r="M52" s="240">
        <v>7000</v>
      </c>
      <c r="N52" s="240"/>
    </row>
    <row r="53" spans="1:14" s="236" customFormat="1" ht="15" customHeight="1" x14ac:dyDescent="0.3">
      <c r="A53" s="236" t="s">
        <v>0</v>
      </c>
      <c r="B53" s="238">
        <f t="shared" si="1"/>
        <v>0</v>
      </c>
      <c r="C53" s="238"/>
      <c r="D53" s="239"/>
      <c r="E53" s="240"/>
      <c r="F53" s="240"/>
      <c r="G53" s="240"/>
      <c r="H53" s="240"/>
      <c r="I53" s="240"/>
      <c r="J53" s="240"/>
      <c r="K53" s="242"/>
      <c r="L53" s="240"/>
      <c r="M53" s="240">
        <v>9000</v>
      </c>
      <c r="N53" s="240"/>
    </row>
    <row r="54" spans="1:14" s="236" customFormat="1" ht="15" customHeight="1" x14ac:dyDescent="0.3">
      <c r="A54" s="236" t="s">
        <v>42</v>
      </c>
      <c r="B54" s="238">
        <f t="shared" si="1"/>
        <v>0</v>
      </c>
      <c r="C54" s="238"/>
      <c r="D54" s="239"/>
      <c r="E54" s="240"/>
      <c r="F54" s="240"/>
      <c r="G54" s="240"/>
      <c r="H54" s="240"/>
      <c r="I54" s="240"/>
      <c r="J54" s="240"/>
      <c r="K54" s="242"/>
      <c r="L54" s="240"/>
      <c r="M54" s="240">
        <v>15000</v>
      </c>
      <c r="N54" s="240"/>
    </row>
    <row r="55" spans="1:14" s="236" customFormat="1" ht="15" customHeight="1" x14ac:dyDescent="0.3">
      <c r="A55" s="236" t="s">
        <v>43</v>
      </c>
      <c r="B55" s="238">
        <f t="shared" si="1"/>
        <v>0</v>
      </c>
      <c r="C55" s="238"/>
      <c r="D55" s="239"/>
      <c r="E55" s="240"/>
      <c r="F55" s="240"/>
      <c r="G55" s="240"/>
      <c r="H55" s="240"/>
      <c r="I55" s="240"/>
      <c r="J55" s="240"/>
      <c r="K55" s="242"/>
      <c r="L55" s="240"/>
      <c r="M55" s="240">
        <v>1500</v>
      </c>
      <c r="N55" s="240"/>
    </row>
    <row r="56" spans="1:14" s="236" customFormat="1" ht="15" customHeight="1" x14ac:dyDescent="0.3">
      <c r="A56" s="236" t="s">
        <v>41</v>
      </c>
      <c r="B56" s="238">
        <f t="shared" si="1"/>
        <v>0</v>
      </c>
      <c r="C56" s="238"/>
      <c r="D56" s="239"/>
      <c r="E56" s="240"/>
      <c r="F56" s="240"/>
      <c r="G56" s="240"/>
      <c r="H56" s="240"/>
      <c r="I56" s="240"/>
      <c r="J56" s="240"/>
      <c r="K56" s="242"/>
      <c r="L56" s="240"/>
      <c r="M56" s="240">
        <v>8500</v>
      </c>
      <c r="N56" s="240"/>
    </row>
    <row r="57" spans="1:14" s="236" customFormat="1" ht="15" customHeight="1" x14ac:dyDescent="0.3">
      <c r="A57" s="236" t="s">
        <v>206</v>
      </c>
      <c r="B57" s="238">
        <f t="shared" si="1"/>
        <v>0</v>
      </c>
      <c r="C57" s="238"/>
      <c r="D57" s="239"/>
      <c r="E57" s="240"/>
      <c r="F57" s="240"/>
      <c r="G57" s="240"/>
      <c r="H57" s="240"/>
      <c r="I57" s="240"/>
      <c r="J57" s="240"/>
      <c r="K57" s="242"/>
      <c r="L57" s="240"/>
      <c r="M57" s="240"/>
      <c r="N57" s="240"/>
    </row>
    <row r="58" spans="1:14" s="245" customFormat="1" ht="15" customHeight="1" thickBot="1" x14ac:dyDescent="0.35">
      <c r="A58" s="245" t="s">
        <v>1</v>
      </c>
      <c r="B58" s="246">
        <f t="shared" si="1"/>
        <v>0</v>
      </c>
      <c r="C58" s="246"/>
      <c r="D58" s="247"/>
      <c r="E58" s="248"/>
      <c r="F58" s="248"/>
      <c r="G58" s="248"/>
      <c r="H58" s="248"/>
      <c r="I58" s="248"/>
      <c r="J58" s="248"/>
      <c r="K58" s="249"/>
      <c r="L58" s="248"/>
      <c r="M58" s="248">
        <v>120000</v>
      </c>
      <c r="N58" s="248"/>
    </row>
    <row r="59" spans="1:14" s="250" customFormat="1" ht="20.399999999999999" customHeight="1" thickTop="1" thickBot="1" x14ac:dyDescent="0.35">
      <c r="A59" s="250" t="s">
        <v>198</v>
      </c>
      <c r="B59" s="251">
        <f t="shared" si="1"/>
        <v>1533000</v>
      </c>
      <c r="C59" s="251"/>
      <c r="D59" s="252">
        <f t="shared" ref="D59:N59" si="3">SUM(D43:D58)</f>
        <v>50000</v>
      </c>
      <c r="E59" s="253">
        <f t="shared" si="3"/>
        <v>0</v>
      </c>
      <c r="F59" s="253">
        <f t="shared" si="3"/>
        <v>120000</v>
      </c>
      <c r="G59" s="253">
        <f t="shared" si="3"/>
        <v>0</v>
      </c>
      <c r="H59" s="253">
        <f t="shared" si="3"/>
        <v>0</v>
      </c>
      <c r="I59" s="253">
        <f t="shared" si="3"/>
        <v>0</v>
      </c>
      <c r="J59" s="253">
        <f t="shared" si="3"/>
        <v>280000</v>
      </c>
      <c r="K59" s="254">
        <f t="shared" si="3"/>
        <v>1083000</v>
      </c>
      <c r="L59" s="253">
        <f t="shared" si="3"/>
        <v>0</v>
      </c>
      <c r="M59" s="253">
        <f t="shared" si="3"/>
        <v>286000</v>
      </c>
      <c r="N59" s="253">
        <f t="shared" si="3"/>
        <v>0</v>
      </c>
    </row>
    <row r="60" spans="1:14" s="18" customFormat="1" ht="18.600000000000001" thickBot="1" x14ac:dyDescent="0.4">
      <c r="A60" s="452" t="s">
        <v>180</v>
      </c>
      <c r="B60" s="452"/>
      <c r="C60" s="452"/>
      <c r="D60" s="452"/>
      <c r="E60" s="452"/>
      <c r="F60" s="452"/>
      <c r="G60" s="452"/>
      <c r="H60" s="452"/>
      <c r="I60" s="452"/>
      <c r="J60" s="452"/>
      <c r="K60" s="452"/>
      <c r="L60" s="74"/>
      <c r="M60" s="75"/>
      <c r="N60" s="74"/>
    </row>
    <row r="61" spans="1:14" s="93" customFormat="1" x14ac:dyDescent="0.3">
      <c r="A61" s="95"/>
      <c r="B61" s="93" t="s">
        <v>80</v>
      </c>
      <c r="C61" s="93" t="s">
        <v>81</v>
      </c>
      <c r="D61" s="21"/>
      <c r="E61" s="21"/>
      <c r="F61" s="21"/>
      <c r="L61" s="96"/>
      <c r="M61" s="72"/>
      <c r="N61" s="96"/>
    </row>
    <row r="62" spans="1:14" s="11" customFormat="1" ht="15" thickBot="1" x14ac:dyDescent="0.35">
      <c r="A62" s="11" t="s">
        <v>179</v>
      </c>
      <c r="B62" s="12">
        <f>SUM(D62:K62)</f>
        <v>4000</v>
      </c>
      <c r="C62" s="12">
        <f>B62*12</f>
        <v>48000</v>
      </c>
      <c r="D62" s="16">
        <v>500</v>
      </c>
      <c r="E62" s="16">
        <v>500</v>
      </c>
      <c r="F62" s="16">
        <v>500</v>
      </c>
      <c r="G62" s="13">
        <v>500</v>
      </c>
      <c r="H62" s="13">
        <v>500</v>
      </c>
      <c r="I62" s="13">
        <v>500</v>
      </c>
      <c r="J62" s="13">
        <v>500</v>
      </c>
      <c r="K62" s="13">
        <v>500</v>
      </c>
      <c r="L62" s="76"/>
      <c r="M62" s="77">
        <v>300</v>
      </c>
      <c r="N62" s="76"/>
    </row>
    <row r="63" spans="1:14" s="11" customFormat="1" ht="15.6" thickTop="1" thickBot="1" x14ac:dyDescent="0.35">
      <c r="A63" s="11" t="s">
        <v>210</v>
      </c>
      <c r="B63" s="12">
        <f>SUM(D63:K63)</f>
        <v>2200</v>
      </c>
      <c r="C63" s="12">
        <f>B63*12</f>
        <v>26400</v>
      </c>
      <c r="D63" s="16">
        <v>2200</v>
      </c>
      <c r="E63" s="16"/>
      <c r="F63" s="16"/>
      <c r="G63" s="13"/>
      <c r="H63" s="13"/>
      <c r="I63" s="13"/>
      <c r="J63" s="13"/>
      <c r="K63" s="13"/>
      <c r="L63" s="76"/>
      <c r="M63" s="77">
        <v>300</v>
      </c>
      <c r="N63" s="76"/>
    </row>
    <row r="64" spans="1:14" s="9" customFormat="1" ht="15" thickTop="1" x14ac:dyDescent="0.3">
      <c r="A64" s="9" t="s">
        <v>328</v>
      </c>
      <c r="B64" s="80">
        <f t="shared" ref="B64:K64" si="4">SUM(B63:B63)</f>
        <v>2200</v>
      </c>
      <c r="C64" s="80">
        <f t="shared" si="4"/>
        <v>26400</v>
      </c>
      <c r="D64" s="10">
        <f t="shared" si="4"/>
        <v>2200</v>
      </c>
      <c r="E64" s="10">
        <f t="shared" si="4"/>
        <v>0</v>
      </c>
      <c r="F64" s="10">
        <f t="shared" si="4"/>
        <v>0</v>
      </c>
      <c r="G64" s="10">
        <f t="shared" si="4"/>
        <v>0</v>
      </c>
      <c r="H64" s="10">
        <f t="shared" si="4"/>
        <v>0</v>
      </c>
      <c r="I64" s="10">
        <f t="shared" si="4"/>
        <v>0</v>
      </c>
      <c r="J64" s="10">
        <f t="shared" si="4"/>
        <v>0</v>
      </c>
      <c r="K64" s="10">
        <f t="shared" si="4"/>
        <v>0</v>
      </c>
    </row>
    <row r="65" spans="1:15" s="18" customFormat="1" ht="18" x14ac:dyDescent="0.35">
      <c r="A65" s="446" t="s">
        <v>148</v>
      </c>
      <c r="B65" s="446"/>
      <c r="C65" s="446"/>
      <c r="D65" s="446"/>
      <c r="E65" s="446"/>
      <c r="F65" s="446"/>
      <c r="G65" s="446"/>
      <c r="H65" s="446"/>
      <c r="I65" s="446"/>
      <c r="J65" s="446"/>
      <c r="K65" s="19"/>
    </row>
    <row r="66" spans="1:15" x14ac:dyDescent="0.3">
      <c r="A66" s="78" t="s">
        <v>83</v>
      </c>
      <c r="B66" s="78"/>
      <c r="C66" s="79"/>
      <c r="D66" s="81"/>
      <c r="E66" s="82"/>
      <c r="F66" s="83"/>
      <c r="G66" s="83"/>
      <c r="H66" s="84"/>
      <c r="I66" s="84"/>
      <c r="J66" s="84"/>
      <c r="K66" s="84"/>
    </row>
    <row r="68" spans="1:15" x14ac:dyDescent="0.3">
      <c r="A68" t="s">
        <v>193</v>
      </c>
    </row>
    <row r="69" spans="1:15" x14ac:dyDescent="0.3">
      <c r="A69" t="s">
        <v>192</v>
      </c>
      <c r="E69" s="103"/>
    </row>
    <row r="70" spans="1:15" x14ac:dyDescent="0.3">
      <c r="A70" t="s">
        <v>187</v>
      </c>
    </row>
    <row r="71" spans="1:15" hidden="1" x14ac:dyDescent="0.3">
      <c r="B71">
        <v>2015</v>
      </c>
      <c r="C71">
        <v>2016</v>
      </c>
      <c r="D71">
        <v>2017</v>
      </c>
      <c r="E71">
        <v>2018</v>
      </c>
      <c r="F71">
        <v>2019</v>
      </c>
      <c r="G71">
        <v>2020</v>
      </c>
      <c r="H71">
        <v>2021</v>
      </c>
      <c r="I71">
        <v>2022</v>
      </c>
      <c r="J71">
        <v>2023</v>
      </c>
      <c r="K71">
        <v>2024</v>
      </c>
      <c r="L71">
        <v>2025</v>
      </c>
      <c r="M71">
        <v>2026</v>
      </c>
      <c r="N71">
        <v>2027</v>
      </c>
      <c r="O71" t="s">
        <v>147</v>
      </c>
    </row>
    <row r="72" spans="1:15" s="5" customFormat="1" x14ac:dyDescent="0.3">
      <c r="A72" s="153" t="s">
        <v>190</v>
      </c>
      <c r="B72" s="5">
        <v>1500</v>
      </c>
      <c r="C72" s="5">
        <f>B72 +(B72*0.03)</f>
        <v>1545</v>
      </c>
      <c r="D72" s="5">
        <f t="shared" ref="D72:N72" si="5">C72 +(C72*0.03)</f>
        <v>1591.35</v>
      </c>
      <c r="E72" s="5">
        <f t="shared" si="5"/>
        <v>1639.0904999999998</v>
      </c>
      <c r="F72" s="5">
        <f t="shared" si="5"/>
        <v>1688.2632149999997</v>
      </c>
      <c r="G72" s="5">
        <f t="shared" si="5"/>
        <v>1738.9111114499997</v>
      </c>
      <c r="H72" s="5">
        <f t="shared" si="5"/>
        <v>1791.0784447934998</v>
      </c>
      <c r="I72" s="5">
        <f t="shared" si="5"/>
        <v>1844.8107981373048</v>
      </c>
      <c r="J72" s="5">
        <f t="shared" si="5"/>
        <v>1900.155122081424</v>
      </c>
      <c r="K72" s="5">
        <f t="shared" si="5"/>
        <v>1957.1597757438667</v>
      </c>
      <c r="L72" s="5">
        <f t="shared" si="5"/>
        <v>2015.8745690161827</v>
      </c>
      <c r="M72" s="5">
        <f t="shared" si="5"/>
        <v>2076.3508060866684</v>
      </c>
      <c r="N72" s="5">
        <f t="shared" si="5"/>
        <v>2138.6413302692686</v>
      </c>
      <c r="O72" s="5">
        <f>AVERAGE(C72:N72)</f>
        <v>1827.2238060481843</v>
      </c>
    </row>
    <row r="73" spans="1:15" x14ac:dyDescent="0.3">
      <c r="A73" t="s">
        <v>189</v>
      </c>
    </row>
  </sheetData>
  <mergeCells count="7">
    <mergeCell ref="A65:J65"/>
    <mergeCell ref="A1:J1"/>
    <mergeCell ref="A41:A42"/>
    <mergeCell ref="A2:J2"/>
    <mergeCell ref="L40:N40"/>
    <mergeCell ref="A40:K40"/>
    <mergeCell ref="A60:K60"/>
  </mergeCells>
  <pageMargins left="0.7" right="0.7" top="0.75" bottom="0.75" header="0.3" footer="0.3"/>
  <pageSetup paperSize="3"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tabSelected="1" workbookViewId="0">
      <selection activeCell="K7" sqref="K4:K7"/>
    </sheetView>
    <sheetView tabSelected="1" topLeftCell="D1" zoomScale="90" zoomScaleNormal="90" workbookViewId="1">
      <selection activeCell="K35" sqref="K35"/>
    </sheetView>
  </sheetViews>
  <sheetFormatPr defaultRowHeight="14.4" x14ac:dyDescent="0.3"/>
  <cols>
    <col min="1" max="1" width="45.88671875" customWidth="1"/>
    <col min="2" max="2" width="16.33203125" customWidth="1"/>
    <col min="3" max="3" width="16.33203125" style="3" customWidth="1"/>
    <col min="4" max="4" width="18.5546875" style="5" customWidth="1"/>
    <col min="5" max="5" width="12" style="221" customWidth="1"/>
    <col min="6" max="6" width="14.109375" style="2" customWidth="1"/>
    <col min="7" max="7" width="14.33203125" style="2" customWidth="1"/>
    <col min="8" max="8" width="17.6640625" style="1" customWidth="1"/>
    <col min="9" max="10" width="15.33203125" style="1" customWidth="1"/>
    <col min="11" max="11" width="83.33203125" style="1" customWidth="1"/>
    <col min="12" max="15" width="15.33203125" customWidth="1"/>
    <col min="16" max="17" width="17.6640625" customWidth="1"/>
    <col min="18" max="18" width="15.44140625" customWidth="1"/>
  </cols>
  <sheetData>
    <row r="1" spans="1:11" s="18" customFormat="1" ht="18.600000000000001" thickBot="1" x14ac:dyDescent="0.4">
      <c r="A1" s="446" t="s">
        <v>329</v>
      </c>
      <c r="B1" s="446"/>
      <c r="C1" s="446"/>
      <c r="D1" s="446"/>
      <c r="E1" s="446"/>
      <c r="F1" s="446"/>
      <c r="G1" s="446"/>
      <c r="H1" s="446"/>
      <c r="I1" s="446"/>
      <c r="J1" s="446"/>
      <c r="K1" s="19"/>
    </row>
    <row r="2" spans="1:11" s="87" customFormat="1" ht="18" x14ac:dyDescent="0.35">
      <c r="A2" s="449" t="s">
        <v>82</v>
      </c>
      <c r="B2" s="450"/>
      <c r="C2" s="450"/>
      <c r="D2" s="450"/>
      <c r="E2" s="450"/>
      <c r="F2" s="450"/>
      <c r="G2" s="450"/>
      <c r="H2" s="450"/>
      <c r="I2" s="450"/>
      <c r="J2" s="450"/>
      <c r="K2" s="86"/>
    </row>
    <row r="3" spans="1:11" s="92" customFormat="1" ht="29.4" thickBot="1" x14ac:dyDescent="0.35">
      <c r="A3" s="220" t="s">
        <v>3</v>
      </c>
      <c r="B3" s="89" t="s">
        <v>58</v>
      </c>
      <c r="C3" s="89" t="s">
        <v>60</v>
      </c>
      <c r="D3" s="91" t="s">
        <v>57</v>
      </c>
      <c r="E3" s="92" t="s">
        <v>34</v>
      </c>
      <c r="F3" s="90" t="s">
        <v>53</v>
      </c>
      <c r="G3" s="90" t="s">
        <v>56</v>
      </c>
      <c r="H3" s="90" t="s">
        <v>306</v>
      </c>
      <c r="I3" s="92" t="s">
        <v>55</v>
      </c>
      <c r="J3" s="90" t="s">
        <v>54</v>
      </c>
    </row>
    <row r="4" spans="1:11" x14ac:dyDescent="0.3">
      <c r="A4" t="s">
        <v>36</v>
      </c>
      <c r="B4" s="2">
        <f>D4*E4</f>
        <v>1200000</v>
      </c>
      <c r="C4" s="2">
        <v>0</v>
      </c>
      <c r="D4" s="5">
        <v>600000</v>
      </c>
      <c r="E4" s="221">
        <v>2</v>
      </c>
      <c r="F4" s="8">
        <v>6</v>
      </c>
      <c r="G4" s="8">
        <v>600</v>
      </c>
      <c r="H4" s="8">
        <v>260</v>
      </c>
      <c r="I4" s="50">
        <f>H4*G4</f>
        <v>156000</v>
      </c>
      <c r="K4" s="1" t="s">
        <v>281</v>
      </c>
    </row>
    <row r="5" spans="1:11" x14ac:dyDescent="0.3">
      <c r="A5" t="s">
        <v>44</v>
      </c>
      <c r="B5" s="235">
        <f>B43</f>
        <v>40000</v>
      </c>
      <c r="C5" s="160">
        <v>0</v>
      </c>
      <c r="F5" s="8"/>
      <c r="G5" s="8"/>
      <c r="H5" s="8"/>
      <c r="I5" s="50"/>
      <c r="K5" s="1" t="s">
        <v>281</v>
      </c>
    </row>
    <row r="6" spans="1:11" x14ac:dyDescent="0.3">
      <c r="A6" t="s">
        <v>45</v>
      </c>
      <c r="B6" s="2">
        <f t="shared" ref="B6:B8" si="0">B44</f>
        <v>0</v>
      </c>
      <c r="C6" s="160">
        <v>0</v>
      </c>
      <c r="F6" s="8"/>
      <c r="G6" s="8"/>
      <c r="H6" s="8"/>
      <c r="I6" s="50"/>
      <c r="K6" s="1" t="s">
        <v>281</v>
      </c>
    </row>
    <row r="7" spans="1:11" x14ac:dyDescent="0.3">
      <c r="A7" t="s">
        <v>46</v>
      </c>
      <c r="B7" s="235">
        <f t="shared" si="0"/>
        <v>200000</v>
      </c>
      <c r="C7" s="160">
        <v>0</v>
      </c>
      <c r="F7" s="8"/>
      <c r="G7" s="8"/>
      <c r="H7" s="8"/>
      <c r="I7" s="50"/>
      <c r="K7" s="1" t="s">
        <v>435</v>
      </c>
    </row>
    <row r="8" spans="1:11" x14ac:dyDescent="0.3">
      <c r="A8" t="s">
        <v>47</v>
      </c>
      <c r="B8" s="2">
        <f t="shared" si="0"/>
        <v>0</v>
      </c>
      <c r="C8" s="160">
        <v>0</v>
      </c>
      <c r="F8" s="8"/>
      <c r="G8" s="8"/>
      <c r="H8" s="8"/>
      <c r="I8" s="50"/>
      <c r="K8" s="1" t="s">
        <v>436</v>
      </c>
    </row>
    <row r="9" spans="1:11" x14ac:dyDescent="0.3">
      <c r="A9" t="s">
        <v>216</v>
      </c>
      <c r="B9" s="2">
        <f>D9</f>
        <v>560000</v>
      </c>
      <c r="C9" s="160">
        <v>0</v>
      </c>
      <c r="D9" s="5">
        <v>560000</v>
      </c>
      <c r="F9" s="8"/>
      <c r="G9" s="8"/>
      <c r="H9" s="8"/>
      <c r="I9" s="50"/>
      <c r="K9" s="1" t="s">
        <v>400</v>
      </c>
    </row>
    <row r="10" spans="1:11" x14ac:dyDescent="0.3">
      <c r="A10" t="s">
        <v>191</v>
      </c>
      <c r="B10" s="2">
        <f>D10*E10</f>
        <v>220000</v>
      </c>
      <c r="C10" s="2">
        <v>0</v>
      </c>
      <c r="D10" s="5">
        <v>110000</v>
      </c>
      <c r="E10" s="221">
        <v>2</v>
      </c>
      <c r="F10" s="8"/>
      <c r="G10" s="8"/>
      <c r="H10" s="8"/>
      <c r="I10" s="50"/>
      <c r="K10" s="1" t="s">
        <v>282</v>
      </c>
    </row>
    <row r="11" spans="1:11" x14ac:dyDescent="0.3">
      <c r="A11" t="s">
        <v>412</v>
      </c>
      <c r="B11" s="2">
        <f>I11*D11</f>
        <v>93600</v>
      </c>
      <c r="C11" s="2">
        <v>0</v>
      </c>
      <c r="D11" s="5">
        <v>0.6</v>
      </c>
      <c r="E11" s="221">
        <v>100</v>
      </c>
      <c r="F11" s="8">
        <v>4</v>
      </c>
      <c r="G11" s="8">
        <v>600</v>
      </c>
      <c r="H11" s="8">
        <v>260</v>
      </c>
      <c r="I11" s="50">
        <f>H11*G11</f>
        <v>156000</v>
      </c>
      <c r="J11" s="1">
        <f>D11*G11</f>
        <v>360</v>
      </c>
      <c r="K11" s="1" t="s">
        <v>284</v>
      </c>
    </row>
    <row r="12" spans="1:11" x14ac:dyDescent="0.3">
      <c r="A12" t="s">
        <v>280</v>
      </c>
      <c r="B12" s="2">
        <f>'E Bus Fleet'!L10</f>
        <v>89300</v>
      </c>
      <c r="C12" s="2">
        <v>0</v>
      </c>
      <c r="E12" s="221">
        <v>2</v>
      </c>
      <c r="F12" s="8"/>
      <c r="G12" s="8"/>
      <c r="H12" s="8"/>
      <c r="I12" s="50"/>
      <c r="K12" s="1" t="s">
        <v>304</v>
      </c>
    </row>
    <row r="13" spans="1:11" x14ac:dyDescent="0.3">
      <c r="A13" t="s">
        <v>38</v>
      </c>
      <c r="B13" s="235">
        <f>B50</f>
        <v>2000</v>
      </c>
      <c r="C13" s="2">
        <v>0</v>
      </c>
      <c r="F13" s="8"/>
      <c r="G13" s="8"/>
      <c r="H13" s="8"/>
      <c r="I13" s="50"/>
      <c r="K13" s="1" t="s">
        <v>285</v>
      </c>
    </row>
    <row r="14" spans="1:11" x14ac:dyDescent="0.3">
      <c r="A14" t="s">
        <v>209</v>
      </c>
      <c r="B14" s="2">
        <f>C62</f>
        <v>0</v>
      </c>
      <c r="C14" s="2">
        <v>0</v>
      </c>
      <c r="F14" s="8"/>
      <c r="G14" s="8"/>
      <c r="H14" s="8"/>
      <c r="I14" s="50"/>
      <c r="K14" s="1" t="s">
        <v>286</v>
      </c>
    </row>
    <row r="15" spans="1:11" x14ac:dyDescent="0.3">
      <c r="A15" t="s">
        <v>188</v>
      </c>
      <c r="B15" s="2">
        <v>0</v>
      </c>
      <c r="C15" s="2">
        <v>0</v>
      </c>
      <c r="F15" s="8"/>
      <c r="G15" s="8"/>
      <c r="H15" s="8"/>
      <c r="I15" s="50"/>
      <c r="K15" s="1" t="s">
        <v>287</v>
      </c>
    </row>
    <row r="16" spans="1:11" s="159" customFormat="1" x14ac:dyDescent="0.3">
      <c r="A16" s="157" t="s">
        <v>207</v>
      </c>
      <c r="B16" s="160">
        <v>30000</v>
      </c>
      <c r="C16" s="160">
        <v>0</v>
      </c>
      <c r="D16" s="162"/>
      <c r="E16" s="163"/>
      <c r="F16" s="164"/>
      <c r="G16" s="164"/>
      <c r="H16" s="164"/>
      <c r="I16" s="165"/>
      <c r="J16" s="161"/>
      <c r="K16" s="161" t="s">
        <v>410</v>
      </c>
    </row>
    <row r="17" spans="1:11" s="159" customFormat="1" x14ac:dyDescent="0.3">
      <c r="A17" s="157" t="s">
        <v>205</v>
      </c>
      <c r="B17" s="160">
        <v>25000</v>
      </c>
      <c r="C17" s="160">
        <v>0</v>
      </c>
      <c r="D17" s="162"/>
      <c r="E17" s="163"/>
      <c r="F17" s="164"/>
      <c r="G17" s="164"/>
      <c r="H17" s="164"/>
      <c r="I17" s="165"/>
      <c r="J17" s="161"/>
      <c r="K17" s="161" t="s">
        <v>409</v>
      </c>
    </row>
    <row r="18" spans="1:11" s="159" customFormat="1" x14ac:dyDescent="0.3">
      <c r="A18" s="157" t="s">
        <v>407</v>
      </c>
      <c r="B18" s="160">
        <v>41600</v>
      </c>
      <c r="C18" s="161"/>
      <c r="D18" s="162"/>
      <c r="E18" s="163"/>
      <c r="F18" s="164"/>
      <c r="G18" s="164"/>
      <c r="H18" s="164"/>
      <c r="I18" s="165"/>
      <c r="J18" s="161"/>
      <c r="K18" t="s">
        <v>411</v>
      </c>
    </row>
    <row r="19" spans="1:11" s="159" customFormat="1" x14ac:dyDescent="0.3">
      <c r="A19" t="s">
        <v>199</v>
      </c>
      <c r="B19" s="160">
        <f>B48</f>
        <v>0</v>
      </c>
      <c r="C19" s="160">
        <v>0</v>
      </c>
      <c r="D19" s="162"/>
      <c r="E19" s="163"/>
      <c r="F19" s="164"/>
      <c r="G19" s="164"/>
      <c r="H19" s="164"/>
      <c r="I19" s="165"/>
      <c r="J19" s="161"/>
      <c r="K19" s="161"/>
    </row>
    <row r="20" spans="1:11" s="159" customFormat="1" x14ac:dyDescent="0.3">
      <c r="A20" t="s">
        <v>40</v>
      </c>
      <c r="B20" s="160">
        <f>B49</f>
        <v>0</v>
      </c>
      <c r="C20" s="160">
        <v>0</v>
      </c>
      <c r="D20" s="162"/>
      <c r="E20" s="163"/>
      <c r="F20" s="164"/>
      <c r="G20" s="164"/>
      <c r="H20" s="164"/>
      <c r="I20" s="165"/>
      <c r="J20" s="161"/>
      <c r="K20" s="161"/>
    </row>
    <row r="21" spans="1:11" s="159" customFormat="1" x14ac:dyDescent="0.3">
      <c r="A21" t="s">
        <v>37</v>
      </c>
      <c r="B21" s="160">
        <f t="shared" ref="B21:B28" si="1">B51</f>
        <v>0</v>
      </c>
      <c r="C21" s="160">
        <v>0</v>
      </c>
      <c r="D21" s="162"/>
      <c r="E21" s="163"/>
      <c r="F21" s="164"/>
      <c r="G21" s="164"/>
      <c r="H21" s="164"/>
      <c r="I21" s="165"/>
      <c r="J21" s="161"/>
      <c r="K21" s="161"/>
    </row>
    <row r="22" spans="1:11" s="159" customFormat="1" x14ac:dyDescent="0.3">
      <c r="A22" t="s">
        <v>2</v>
      </c>
      <c r="B22" s="160">
        <f t="shared" si="1"/>
        <v>0</v>
      </c>
      <c r="C22" s="160">
        <v>0</v>
      </c>
      <c r="D22" s="162"/>
      <c r="E22" s="163"/>
      <c r="F22" s="164"/>
      <c r="G22" s="164"/>
      <c r="H22" s="164"/>
      <c r="I22" s="165"/>
      <c r="J22" s="161"/>
      <c r="K22" s="161"/>
    </row>
    <row r="23" spans="1:11" s="159" customFormat="1" x14ac:dyDescent="0.3">
      <c r="A23" t="s">
        <v>0</v>
      </c>
      <c r="B23" s="160">
        <f t="shared" si="1"/>
        <v>0</v>
      </c>
      <c r="C23" s="160">
        <v>0</v>
      </c>
      <c r="D23" s="162"/>
      <c r="E23" s="163"/>
      <c r="F23" s="164"/>
      <c r="G23" s="164"/>
      <c r="H23" s="164"/>
      <c r="I23" s="165"/>
      <c r="J23" s="161"/>
      <c r="K23" s="161"/>
    </row>
    <row r="24" spans="1:11" s="159" customFormat="1" x14ac:dyDescent="0.3">
      <c r="A24" t="s">
        <v>42</v>
      </c>
      <c r="B24" s="160">
        <f t="shared" si="1"/>
        <v>0</v>
      </c>
      <c r="C24" s="160">
        <v>0</v>
      </c>
      <c r="D24" s="162"/>
      <c r="E24" s="163"/>
      <c r="F24" s="164"/>
      <c r="G24" s="164"/>
      <c r="H24" s="164"/>
      <c r="I24" s="165"/>
      <c r="J24" s="161"/>
      <c r="K24" s="161"/>
    </row>
    <row r="25" spans="1:11" s="159" customFormat="1" x14ac:dyDescent="0.3">
      <c r="A25" t="s">
        <v>330</v>
      </c>
      <c r="B25" s="255">
        <f t="shared" si="1"/>
        <v>15000</v>
      </c>
      <c r="C25" s="160">
        <v>0</v>
      </c>
      <c r="D25" s="162"/>
      <c r="E25" s="163"/>
      <c r="F25" s="164"/>
      <c r="G25" s="164"/>
      <c r="H25" s="164"/>
      <c r="I25" s="165"/>
      <c r="J25" s="161"/>
      <c r="K25" s="161"/>
    </row>
    <row r="26" spans="1:11" s="159" customFormat="1" x14ac:dyDescent="0.3">
      <c r="A26" t="s">
        <v>41</v>
      </c>
      <c r="B26" s="160">
        <f t="shared" si="1"/>
        <v>0</v>
      </c>
      <c r="C26" s="160">
        <v>0</v>
      </c>
      <c r="D26" s="162"/>
      <c r="E26" s="163"/>
      <c r="F26" s="164"/>
      <c r="G26" s="164"/>
      <c r="H26" s="164"/>
      <c r="I26" s="165"/>
      <c r="J26" s="161"/>
      <c r="K26" s="161"/>
    </row>
    <row r="27" spans="1:11" s="159" customFormat="1" x14ac:dyDescent="0.3">
      <c r="A27" t="s">
        <v>206</v>
      </c>
      <c r="B27" s="160">
        <f t="shared" si="1"/>
        <v>0</v>
      </c>
      <c r="C27" s="160">
        <v>0</v>
      </c>
      <c r="D27" s="162"/>
      <c r="E27" s="163"/>
      <c r="F27" s="164"/>
      <c r="G27" s="164"/>
      <c r="H27" s="164"/>
      <c r="I27" s="165"/>
      <c r="J27" s="161"/>
      <c r="K27" s="161"/>
    </row>
    <row r="28" spans="1:11" s="159" customFormat="1" x14ac:dyDescent="0.3">
      <c r="A28" s="159" t="s">
        <v>1</v>
      </c>
      <c r="B28" s="160">
        <f t="shared" si="1"/>
        <v>0</v>
      </c>
      <c r="C28" s="160">
        <v>0</v>
      </c>
      <c r="D28" s="162"/>
      <c r="E28" s="163"/>
      <c r="F28" s="164"/>
      <c r="G28" s="164"/>
      <c r="H28" s="164"/>
      <c r="I28" s="165"/>
      <c r="J28" s="161"/>
      <c r="K28" s="161"/>
    </row>
    <row r="29" spans="1:11" s="159" customFormat="1" x14ac:dyDescent="0.3">
      <c r="A29" s="157" t="s">
        <v>354</v>
      </c>
      <c r="B29" s="160">
        <f>'Implementation Costs'!C7</f>
        <v>36450</v>
      </c>
      <c r="C29" s="160"/>
      <c r="D29" s="162"/>
      <c r="E29" s="163"/>
      <c r="F29" s="164"/>
      <c r="G29" s="164"/>
      <c r="H29" s="164"/>
      <c r="I29" s="165"/>
      <c r="J29" s="161"/>
      <c r="K29" s="161"/>
    </row>
    <row r="30" spans="1:11" s="159" customFormat="1" x14ac:dyDescent="0.3">
      <c r="A30" s="28" t="s">
        <v>355</v>
      </c>
      <c r="B30" s="160">
        <f>'Implementation Costs'!C8</f>
        <v>9720</v>
      </c>
      <c r="C30" s="160"/>
      <c r="D30" s="162"/>
      <c r="E30" s="163"/>
      <c r="F30" s="164"/>
      <c r="G30" s="164"/>
      <c r="H30" s="164"/>
      <c r="I30" s="165"/>
      <c r="J30" s="161"/>
      <c r="K30" s="161"/>
    </row>
    <row r="31" spans="1:11" s="159" customFormat="1" x14ac:dyDescent="0.3">
      <c r="A31" s="28" t="s">
        <v>356</v>
      </c>
      <c r="B31" s="160">
        <f>'Implementation Costs'!C9</f>
        <v>5400</v>
      </c>
      <c r="C31" s="160"/>
      <c r="D31" s="162"/>
      <c r="E31" s="163"/>
      <c r="F31" s="164"/>
      <c r="G31" s="164"/>
      <c r="H31" s="164"/>
      <c r="I31" s="165"/>
      <c r="J31" s="161"/>
      <c r="K31" s="161"/>
    </row>
    <row r="32" spans="1:11" s="159" customFormat="1" x14ac:dyDescent="0.3">
      <c r="A32" s="28" t="s">
        <v>358</v>
      </c>
      <c r="B32" s="160">
        <f>'Implementation Costs'!C10</f>
        <v>51840</v>
      </c>
      <c r="C32" s="160"/>
      <c r="D32" s="162"/>
      <c r="E32" s="163"/>
      <c r="F32" s="164"/>
      <c r="G32" s="164"/>
      <c r="H32" s="164"/>
      <c r="I32" s="165"/>
      <c r="J32" s="161"/>
      <c r="K32" s="161"/>
    </row>
    <row r="33" spans="1:14" s="159" customFormat="1" x14ac:dyDescent="0.3">
      <c r="A33" s="157" t="s">
        <v>208</v>
      </c>
      <c r="B33" s="160">
        <f>'Implementation Costs'!C11</f>
        <v>336420.00000000006</v>
      </c>
      <c r="C33" s="160">
        <v>0</v>
      </c>
      <c r="D33" s="162"/>
      <c r="E33" s="163"/>
      <c r="F33" s="164"/>
      <c r="G33" s="164"/>
      <c r="H33" s="164"/>
      <c r="I33" s="165"/>
      <c r="J33" s="161"/>
      <c r="K33" s="161"/>
    </row>
    <row r="34" spans="1:14" s="159" customFormat="1" x14ac:dyDescent="0.3">
      <c r="A34" s="157" t="s">
        <v>206</v>
      </c>
      <c r="B34" s="160">
        <v>0</v>
      </c>
      <c r="C34" s="160">
        <v>10000</v>
      </c>
      <c r="D34" s="162"/>
      <c r="E34" s="163"/>
      <c r="F34" s="164"/>
      <c r="G34" s="164"/>
      <c r="H34" s="164"/>
      <c r="I34" s="165"/>
      <c r="J34" s="161"/>
      <c r="K34" s="161" t="s">
        <v>410</v>
      </c>
    </row>
    <row r="35" spans="1:14" x14ac:dyDescent="0.3">
      <c r="A35" t="s">
        <v>212</v>
      </c>
      <c r="B35" s="2">
        <v>0</v>
      </c>
      <c r="C35" s="2">
        <v>2500</v>
      </c>
      <c r="F35" s="8"/>
      <c r="G35" s="8"/>
      <c r="H35" s="8"/>
      <c r="I35" s="50"/>
      <c r="K35" s="1" t="s">
        <v>430</v>
      </c>
    </row>
    <row r="36" spans="1:14" s="159" customFormat="1" x14ac:dyDescent="0.3">
      <c r="A36" s="159" t="s">
        <v>213</v>
      </c>
      <c r="B36" s="160">
        <v>0</v>
      </c>
      <c r="C36" s="160"/>
      <c r="D36" s="162">
        <v>0.41</v>
      </c>
      <c r="E36" s="163">
        <v>100</v>
      </c>
      <c r="F36" s="8">
        <v>4</v>
      </c>
      <c r="G36" s="8">
        <v>600</v>
      </c>
      <c r="H36" s="8">
        <v>260</v>
      </c>
      <c r="I36" s="50">
        <f>H36*G36</f>
        <v>156000</v>
      </c>
      <c r="J36" s="161">
        <f>D36*G36</f>
        <v>245.99999999999997</v>
      </c>
      <c r="K36" s="161" t="s">
        <v>288</v>
      </c>
    </row>
    <row r="37" spans="1:14" x14ac:dyDescent="0.3">
      <c r="A37" t="s">
        <v>183</v>
      </c>
      <c r="B37" s="2">
        <v>0</v>
      </c>
      <c r="C37" s="283">
        <f>'Operating Cost Calcs'!D17</f>
        <v>379730.74645438429</v>
      </c>
      <c r="I37" s="51"/>
      <c r="K37" s="1" t="s">
        <v>283</v>
      </c>
    </row>
    <row r="38" spans="1:14" s="234" customFormat="1" ht="15.6" x14ac:dyDescent="0.3">
      <c r="A38" s="227" t="s">
        <v>197</v>
      </c>
      <c r="B38" s="228">
        <f>SUM(B4:B37)</f>
        <v>2956330</v>
      </c>
      <c r="C38" s="228">
        <f>SUM(C4:C37)</f>
        <v>392230.74645438429</v>
      </c>
      <c r="D38" s="230"/>
      <c r="E38" s="231"/>
      <c r="F38" s="232"/>
      <c r="G38" s="232"/>
      <c r="H38" s="233"/>
      <c r="I38" s="233"/>
      <c r="J38" s="233"/>
      <c r="K38" s="233"/>
    </row>
    <row r="39" spans="1:14" s="63" customFormat="1" x14ac:dyDescent="0.3">
      <c r="A39" s="97"/>
      <c r="B39" s="98"/>
      <c r="C39" s="98"/>
      <c r="D39" s="100"/>
      <c r="E39" s="71"/>
      <c r="F39" s="101"/>
      <c r="G39" s="101"/>
      <c r="H39" s="102"/>
      <c r="I39" s="102"/>
      <c r="J39" s="102"/>
      <c r="K39" s="102"/>
    </row>
    <row r="40" spans="1:14" s="70" customFormat="1" ht="18.600000000000001" thickBot="1" x14ac:dyDescent="0.4">
      <c r="A40" s="446" t="s">
        <v>181</v>
      </c>
      <c r="B40" s="446"/>
      <c r="C40" s="446"/>
      <c r="D40" s="446"/>
      <c r="E40" s="446"/>
      <c r="F40" s="446"/>
      <c r="G40" s="446"/>
      <c r="H40" s="446"/>
      <c r="I40" s="446"/>
      <c r="J40" s="446"/>
      <c r="K40" s="446"/>
      <c r="L40" s="451"/>
      <c r="M40" s="451"/>
      <c r="N40" s="451"/>
    </row>
    <row r="41" spans="1:14" s="93" customFormat="1" x14ac:dyDescent="0.3">
      <c r="A41" s="447" t="s">
        <v>39</v>
      </c>
      <c r="C41" s="284"/>
      <c r="D41" s="20" t="s">
        <v>49</v>
      </c>
      <c r="E41" s="21" t="s">
        <v>50</v>
      </c>
      <c r="F41" s="21" t="s">
        <v>51</v>
      </c>
      <c r="G41" s="21" t="s">
        <v>52</v>
      </c>
      <c r="H41" s="21"/>
      <c r="I41" s="21"/>
      <c r="J41" s="21"/>
      <c r="K41" s="22"/>
      <c r="L41" s="72"/>
      <c r="M41" s="72"/>
      <c r="N41" s="72"/>
    </row>
    <row r="42" spans="1:14" s="94" customFormat="1" ht="15" thickBot="1" x14ac:dyDescent="0.35">
      <c r="A42" s="448"/>
      <c r="C42" s="285"/>
      <c r="D42" s="23" t="s">
        <v>4</v>
      </c>
      <c r="E42" s="24" t="s">
        <v>5</v>
      </c>
      <c r="F42" s="24" t="s">
        <v>6</v>
      </c>
      <c r="G42" s="24" t="s">
        <v>7</v>
      </c>
      <c r="H42" s="24"/>
      <c r="I42" s="24"/>
      <c r="J42" s="24"/>
      <c r="K42" s="25"/>
      <c r="L42" s="73"/>
      <c r="M42" s="73"/>
      <c r="N42" s="73"/>
    </row>
    <row r="43" spans="1:14" s="236" customFormat="1" ht="14.4" customHeight="1" x14ac:dyDescent="0.3">
      <c r="A43" s="236" t="s">
        <v>44</v>
      </c>
      <c r="B43" s="237">
        <f>SUM(D43:K43)</f>
        <v>40000</v>
      </c>
      <c r="C43" s="286"/>
      <c r="D43" s="239">
        <v>40000</v>
      </c>
      <c r="E43" s="240"/>
      <c r="F43" s="240"/>
      <c r="G43" s="240"/>
      <c r="H43" s="240"/>
      <c r="I43" s="240"/>
      <c r="J43" s="240"/>
      <c r="K43" s="241"/>
      <c r="L43" s="240"/>
      <c r="M43" s="240"/>
      <c r="N43" s="240"/>
    </row>
    <row r="44" spans="1:14" s="236" customFormat="1" ht="14.4" customHeight="1" x14ac:dyDescent="0.3">
      <c r="A44" s="236" t="s">
        <v>45</v>
      </c>
      <c r="B44" s="238">
        <f t="shared" ref="B44:B58" si="2">SUM(D44:K44)</f>
        <v>0</v>
      </c>
      <c r="C44" s="286"/>
      <c r="D44" s="239"/>
      <c r="E44" s="240"/>
      <c r="F44" s="240"/>
      <c r="G44" s="240"/>
      <c r="H44" s="240"/>
      <c r="I44" s="240"/>
      <c r="J44" s="240"/>
      <c r="K44" s="242"/>
      <c r="L44" s="240"/>
      <c r="M44" s="240"/>
      <c r="N44" s="240"/>
    </row>
    <row r="45" spans="1:14" s="236" customFormat="1" ht="14.4" customHeight="1" x14ac:dyDescent="0.3">
      <c r="A45" s="236" t="s">
        <v>46</v>
      </c>
      <c r="B45" s="238">
        <f t="shared" si="2"/>
        <v>200000</v>
      </c>
      <c r="C45" s="286"/>
      <c r="D45" s="243">
        <v>200000</v>
      </c>
      <c r="E45" s="240"/>
      <c r="F45" s="240"/>
      <c r="G45" s="240"/>
      <c r="H45" s="240"/>
      <c r="I45" s="240"/>
      <c r="J45" s="240"/>
      <c r="K45" s="242"/>
      <c r="L45" s="240"/>
      <c r="M45" s="240"/>
      <c r="N45" s="240"/>
    </row>
    <row r="46" spans="1:14" s="236" customFormat="1" ht="14.4" customHeight="1" x14ac:dyDescent="0.3">
      <c r="A46" s="236" t="s">
        <v>47</v>
      </c>
      <c r="B46" s="238">
        <f t="shared" si="2"/>
        <v>0</v>
      </c>
      <c r="C46" s="286"/>
      <c r="D46" s="239"/>
      <c r="E46" s="240"/>
      <c r="F46" s="240"/>
      <c r="G46" s="240"/>
      <c r="H46" s="240"/>
      <c r="I46" s="240"/>
      <c r="J46" s="240"/>
      <c r="K46" s="244"/>
      <c r="L46" s="240"/>
      <c r="M46" s="240"/>
      <c r="N46" s="240"/>
    </row>
    <row r="47" spans="1:14" s="236" customFormat="1" ht="15.6" customHeight="1" x14ac:dyDescent="0.3">
      <c r="A47" s="236" t="s">
        <v>216</v>
      </c>
      <c r="B47" s="238">
        <f>SUM(D47:K47)</f>
        <v>0</v>
      </c>
      <c r="C47" s="286"/>
      <c r="D47" s="239"/>
      <c r="E47" s="240"/>
      <c r="F47" s="240"/>
      <c r="G47" s="240"/>
      <c r="H47" s="240"/>
      <c r="I47" s="240"/>
      <c r="J47" s="240"/>
      <c r="K47" s="242"/>
      <c r="L47" s="240"/>
      <c r="M47" s="240"/>
      <c r="N47" s="240"/>
    </row>
    <row r="48" spans="1:14" s="236" customFormat="1" ht="15.6" customHeight="1" x14ac:dyDescent="0.3">
      <c r="A48" s="236" t="s">
        <v>199</v>
      </c>
      <c r="B48" s="238">
        <f t="shared" si="2"/>
        <v>0</v>
      </c>
      <c r="C48" s="286"/>
      <c r="D48" s="239"/>
      <c r="E48" s="240"/>
      <c r="F48" s="240"/>
      <c r="G48" s="240"/>
      <c r="H48" s="240"/>
      <c r="I48" s="240"/>
      <c r="J48" s="240"/>
      <c r="K48" s="244"/>
      <c r="L48" s="240"/>
      <c r="M48" s="240"/>
      <c r="N48" s="240"/>
    </row>
    <row r="49" spans="1:14" s="236" customFormat="1" ht="15.6" customHeight="1" x14ac:dyDescent="0.3">
      <c r="A49" s="236" t="s">
        <v>40</v>
      </c>
      <c r="B49" s="238">
        <f t="shared" si="2"/>
        <v>0</v>
      </c>
      <c r="C49" s="286"/>
      <c r="D49" s="239"/>
      <c r="E49" s="240"/>
      <c r="F49" s="240"/>
      <c r="G49" s="240"/>
      <c r="H49" s="240"/>
      <c r="I49" s="240"/>
      <c r="J49" s="240"/>
      <c r="K49" s="242"/>
      <c r="L49" s="240"/>
      <c r="M49" s="240"/>
      <c r="N49" s="240"/>
    </row>
    <row r="50" spans="1:14" s="236" customFormat="1" ht="15.6" customHeight="1" x14ac:dyDescent="0.3">
      <c r="A50" s="236" t="s">
        <v>38</v>
      </c>
      <c r="B50" s="238">
        <f t="shared" si="2"/>
        <v>2000</v>
      </c>
      <c r="C50" s="286"/>
      <c r="D50" s="239">
        <v>500</v>
      </c>
      <c r="E50" s="240">
        <v>500</v>
      </c>
      <c r="F50" s="240">
        <v>500</v>
      </c>
      <c r="G50" s="240">
        <v>500</v>
      </c>
      <c r="H50" s="240"/>
      <c r="I50" s="240"/>
      <c r="J50" s="240"/>
      <c r="K50" s="242"/>
      <c r="L50" s="240"/>
      <c r="M50" s="240"/>
      <c r="N50" s="240"/>
    </row>
    <row r="51" spans="1:14" s="236" customFormat="1" ht="15.6" customHeight="1" x14ac:dyDescent="0.3">
      <c r="A51" s="236" t="s">
        <v>37</v>
      </c>
      <c r="B51" s="238">
        <f t="shared" si="2"/>
        <v>0</v>
      </c>
      <c r="C51" s="286"/>
      <c r="D51" s="239"/>
      <c r="E51" s="240"/>
      <c r="F51" s="240"/>
      <c r="G51" s="240"/>
      <c r="H51" s="240"/>
      <c r="I51" s="240"/>
      <c r="J51" s="240"/>
      <c r="K51" s="242"/>
      <c r="L51" s="240"/>
      <c r="M51" s="240"/>
      <c r="N51" s="240"/>
    </row>
    <row r="52" spans="1:14" s="236" customFormat="1" ht="15.6" customHeight="1" x14ac:dyDescent="0.3">
      <c r="A52" s="236" t="s">
        <v>2</v>
      </c>
      <c r="B52" s="238">
        <f t="shared" si="2"/>
        <v>0</v>
      </c>
      <c r="C52" s="286"/>
      <c r="D52" s="239"/>
      <c r="E52" s="240"/>
      <c r="F52" s="240"/>
      <c r="G52" s="240"/>
      <c r="H52" s="240"/>
      <c r="I52" s="240"/>
      <c r="J52" s="240"/>
      <c r="K52" s="242"/>
      <c r="L52" s="240"/>
      <c r="M52" s="240"/>
      <c r="N52" s="240"/>
    </row>
    <row r="53" spans="1:14" s="236" customFormat="1" ht="15.6" customHeight="1" x14ac:dyDescent="0.3">
      <c r="A53" s="236" t="s">
        <v>0</v>
      </c>
      <c r="B53" s="238">
        <f t="shared" si="2"/>
        <v>0</v>
      </c>
      <c r="C53" s="286"/>
      <c r="D53" s="239"/>
      <c r="E53" s="240"/>
      <c r="F53" s="240"/>
      <c r="G53" s="240"/>
      <c r="H53" s="240"/>
      <c r="I53" s="240"/>
      <c r="J53" s="240"/>
      <c r="K53" s="242"/>
      <c r="L53" s="240"/>
      <c r="M53" s="240"/>
      <c r="N53" s="240"/>
    </row>
    <row r="54" spans="1:14" s="236" customFormat="1" ht="15.6" customHeight="1" x14ac:dyDescent="0.3">
      <c r="A54" s="236" t="s">
        <v>42</v>
      </c>
      <c r="B54" s="238">
        <f t="shared" si="2"/>
        <v>0</v>
      </c>
      <c r="C54" s="286"/>
      <c r="D54" s="239"/>
      <c r="E54" s="240"/>
      <c r="F54" s="240"/>
      <c r="G54" s="240"/>
      <c r="H54" s="240"/>
      <c r="I54" s="240"/>
      <c r="J54" s="240"/>
      <c r="K54" s="242"/>
      <c r="L54" s="240"/>
      <c r="M54" s="240"/>
      <c r="N54" s="240"/>
    </row>
    <row r="55" spans="1:14" s="236" customFormat="1" ht="15.6" customHeight="1" x14ac:dyDescent="0.3">
      <c r="A55" s="236" t="s">
        <v>330</v>
      </c>
      <c r="B55" s="238">
        <f t="shared" si="2"/>
        <v>15000</v>
      </c>
      <c r="C55" s="286"/>
      <c r="D55" s="239"/>
      <c r="E55" s="240">
        <v>5000</v>
      </c>
      <c r="F55" s="240">
        <v>5000</v>
      </c>
      <c r="G55" s="240">
        <v>5000</v>
      </c>
      <c r="H55" s="240"/>
      <c r="I55" s="240"/>
      <c r="J55" s="240"/>
      <c r="K55" s="242"/>
      <c r="L55" s="240"/>
      <c r="M55" s="240"/>
      <c r="N55" s="240"/>
    </row>
    <row r="56" spans="1:14" s="236" customFormat="1" ht="15.6" customHeight="1" x14ac:dyDescent="0.3">
      <c r="A56" s="236" t="s">
        <v>41</v>
      </c>
      <c r="B56" s="238">
        <f t="shared" si="2"/>
        <v>0</v>
      </c>
      <c r="C56" s="286"/>
      <c r="D56" s="239"/>
      <c r="E56" s="240"/>
      <c r="F56" s="240"/>
      <c r="G56" s="240"/>
      <c r="H56" s="240"/>
      <c r="I56" s="240"/>
      <c r="J56" s="240"/>
      <c r="K56" s="242"/>
      <c r="L56" s="240"/>
      <c r="M56" s="240"/>
      <c r="N56" s="240"/>
    </row>
    <row r="57" spans="1:14" s="236" customFormat="1" ht="15.6" customHeight="1" x14ac:dyDescent="0.3">
      <c r="A57" s="236" t="s">
        <v>206</v>
      </c>
      <c r="B57" s="238">
        <f t="shared" si="2"/>
        <v>0</v>
      </c>
      <c r="C57" s="286"/>
      <c r="D57" s="239"/>
      <c r="E57" s="240"/>
      <c r="F57" s="240"/>
      <c r="G57" s="240"/>
      <c r="H57" s="240"/>
      <c r="I57" s="240"/>
      <c r="J57" s="240"/>
      <c r="K57" s="242"/>
      <c r="L57" s="240"/>
      <c r="M57" s="240"/>
      <c r="N57" s="240"/>
    </row>
    <row r="58" spans="1:14" s="245" customFormat="1" ht="15.6" customHeight="1" thickBot="1" x14ac:dyDescent="0.35">
      <c r="A58" s="245" t="s">
        <v>1</v>
      </c>
      <c r="B58" s="246">
        <f t="shared" si="2"/>
        <v>0</v>
      </c>
      <c r="C58" s="287"/>
      <c r="D58" s="247"/>
      <c r="E58" s="248"/>
      <c r="F58" s="248"/>
      <c r="G58" s="248"/>
      <c r="H58" s="248"/>
      <c r="I58" s="248"/>
      <c r="J58" s="248"/>
      <c r="K58" s="249"/>
      <c r="L58" s="248"/>
      <c r="M58" s="248"/>
      <c r="N58" s="248"/>
    </row>
    <row r="59" spans="1:14" s="250" customFormat="1" ht="15.6" customHeight="1" thickTop="1" thickBot="1" x14ac:dyDescent="0.35">
      <c r="A59" s="250" t="s">
        <v>198</v>
      </c>
      <c r="B59" s="251">
        <f>SUM(B43:B58)</f>
        <v>257000</v>
      </c>
      <c r="C59" s="288"/>
      <c r="D59" s="252">
        <f t="shared" ref="D59:K59" si="3">SUM(D43:D58)</f>
        <v>240500</v>
      </c>
      <c r="E59" s="253">
        <f t="shared" si="3"/>
        <v>5500</v>
      </c>
      <c r="F59" s="253">
        <f t="shared" si="3"/>
        <v>5500</v>
      </c>
      <c r="G59" s="253">
        <f t="shared" si="3"/>
        <v>5500</v>
      </c>
      <c r="H59" s="253">
        <f t="shared" si="3"/>
        <v>0</v>
      </c>
      <c r="I59" s="253">
        <f t="shared" si="3"/>
        <v>0</v>
      </c>
      <c r="J59" s="253">
        <f t="shared" si="3"/>
        <v>0</v>
      </c>
      <c r="K59" s="254">
        <f t="shared" si="3"/>
        <v>0</v>
      </c>
      <c r="L59" s="253"/>
      <c r="M59" s="253"/>
      <c r="N59" s="253"/>
    </row>
    <row r="60" spans="1:14" s="18" customFormat="1" ht="18.600000000000001" thickBot="1" x14ac:dyDescent="0.4">
      <c r="A60" s="452" t="s">
        <v>180</v>
      </c>
      <c r="B60" s="452"/>
      <c r="C60" s="452"/>
      <c r="D60" s="452"/>
      <c r="E60" s="452"/>
      <c r="F60" s="452"/>
      <c r="G60" s="452"/>
      <c r="H60" s="452"/>
      <c r="I60" s="452"/>
      <c r="J60" s="452"/>
      <c r="K60" s="452"/>
      <c r="L60" s="74"/>
      <c r="M60" s="75"/>
      <c r="N60" s="74"/>
    </row>
    <row r="61" spans="1:14" s="93" customFormat="1" x14ac:dyDescent="0.3">
      <c r="A61" s="95"/>
      <c r="B61" s="93" t="s">
        <v>80</v>
      </c>
      <c r="C61" s="284" t="s">
        <v>81</v>
      </c>
      <c r="D61" s="21"/>
      <c r="E61" s="21"/>
      <c r="F61" s="21"/>
      <c r="L61" s="96"/>
      <c r="M61" s="72"/>
      <c r="N61" s="96"/>
    </row>
    <row r="62" spans="1:14" s="11" customFormat="1" ht="15" thickBot="1" x14ac:dyDescent="0.35">
      <c r="A62" s="11" t="s">
        <v>179</v>
      </c>
      <c r="B62" s="12">
        <f>SUM(D62:K62)</f>
        <v>0</v>
      </c>
      <c r="C62" s="289">
        <f>B62*12</f>
        <v>0</v>
      </c>
      <c r="D62" s="16"/>
      <c r="E62" s="16"/>
      <c r="F62" s="16"/>
      <c r="G62" s="13"/>
      <c r="H62" s="13"/>
      <c r="I62" s="13"/>
      <c r="J62" s="13"/>
      <c r="K62" s="13"/>
      <c r="L62" s="76"/>
      <c r="M62" s="77"/>
      <c r="N62" s="76"/>
    </row>
    <row r="63" spans="1:14" s="11" customFormat="1" ht="15.6" thickTop="1" thickBot="1" x14ac:dyDescent="0.35">
      <c r="A63" s="11" t="s">
        <v>210</v>
      </c>
      <c r="B63" s="12">
        <f>SUM(D63:K63)</f>
        <v>0</v>
      </c>
      <c r="C63" s="289">
        <f>B63*12</f>
        <v>0</v>
      </c>
      <c r="D63" s="16"/>
      <c r="E63" s="16"/>
      <c r="F63" s="16"/>
      <c r="G63" s="13"/>
      <c r="H63" s="13"/>
      <c r="I63" s="13"/>
      <c r="J63" s="13"/>
      <c r="K63" s="13"/>
      <c r="L63" s="76"/>
      <c r="M63" s="77"/>
      <c r="N63" s="76"/>
    </row>
    <row r="64" spans="1:14" s="9" customFormat="1" ht="15" thickTop="1" x14ac:dyDescent="0.3">
      <c r="A64" s="9" t="s">
        <v>328</v>
      </c>
      <c r="B64" s="80">
        <f t="shared" ref="B64:K64" si="4">SUM(B63:B63)</f>
        <v>0</v>
      </c>
      <c r="C64" s="290">
        <f t="shared" si="4"/>
        <v>0</v>
      </c>
      <c r="D64" s="10">
        <f t="shared" si="4"/>
        <v>0</v>
      </c>
      <c r="E64" s="10">
        <f t="shared" si="4"/>
        <v>0</v>
      </c>
      <c r="F64" s="10">
        <f t="shared" si="4"/>
        <v>0</v>
      </c>
      <c r="G64" s="10">
        <f t="shared" si="4"/>
        <v>0</v>
      </c>
      <c r="H64" s="10">
        <f t="shared" si="4"/>
        <v>0</v>
      </c>
      <c r="I64" s="10">
        <f t="shared" si="4"/>
        <v>0</v>
      </c>
      <c r="J64" s="10">
        <f t="shared" si="4"/>
        <v>0</v>
      </c>
      <c r="K64" s="10">
        <f t="shared" si="4"/>
        <v>0</v>
      </c>
    </row>
    <row r="65" spans="1:15" s="18" customFormat="1" ht="18" x14ac:dyDescent="0.35">
      <c r="A65" s="446" t="s">
        <v>148</v>
      </c>
      <c r="B65" s="446"/>
      <c r="C65" s="446"/>
      <c r="D65" s="446"/>
      <c r="E65" s="446"/>
      <c r="F65" s="446"/>
      <c r="G65" s="446"/>
      <c r="H65" s="446"/>
      <c r="I65" s="446"/>
      <c r="J65" s="446"/>
      <c r="K65" s="19"/>
    </row>
    <row r="66" spans="1:15" x14ac:dyDescent="0.3">
      <c r="A66" s="78" t="s">
        <v>83</v>
      </c>
      <c r="B66" s="78"/>
      <c r="C66" s="85"/>
      <c r="D66" s="81"/>
      <c r="E66" s="82"/>
      <c r="F66" s="83"/>
      <c r="G66" s="83"/>
      <c r="H66" s="84"/>
      <c r="I66" s="84"/>
      <c r="J66" s="84"/>
      <c r="K66" s="84"/>
    </row>
    <row r="68" spans="1:15" x14ac:dyDescent="0.3">
      <c r="A68" t="s">
        <v>193</v>
      </c>
    </row>
    <row r="69" spans="1:15" x14ac:dyDescent="0.3">
      <c r="A69" t="s">
        <v>192</v>
      </c>
    </row>
    <row r="70" spans="1:15" x14ac:dyDescent="0.3">
      <c r="A70" t="s">
        <v>187</v>
      </c>
    </row>
    <row r="71" spans="1:15" hidden="1" x14ac:dyDescent="0.3">
      <c r="B71">
        <v>2015</v>
      </c>
      <c r="C71" s="3">
        <v>2016</v>
      </c>
      <c r="D71">
        <v>2017</v>
      </c>
      <c r="E71">
        <v>2018</v>
      </c>
      <c r="F71">
        <v>2019</v>
      </c>
      <c r="G71">
        <v>2020</v>
      </c>
      <c r="H71">
        <v>2021</v>
      </c>
      <c r="I71">
        <v>2022</v>
      </c>
      <c r="J71">
        <v>2023</v>
      </c>
      <c r="K71">
        <v>2024</v>
      </c>
      <c r="L71">
        <v>2025</v>
      </c>
      <c r="M71">
        <v>2026</v>
      </c>
      <c r="N71">
        <v>2027</v>
      </c>
      <c r="O71" t="s">
        <v>147</v>
      </c>
    </row>
    <row r="72" spans="1:15" s="5" customFormat="1" x14ac:dyDescent="0.3">
      <c r="A72" s="153" t="s">
        <v>190</v>
      </c>
      <c r="B72" s="5">
        <v>1500</v>
      </c>
      <c r="C72" s="2">
        <f>B72 +(B72*0.03)</f>
        <v>1545</v>
      </c>
      <c r="D72" s="5">
        <f t="shared" ref="D72:N72" si="5">C72 +(C72*0.03)</f>
        <v>1591.35</v>
      </c>
      <c r="E72" s="5">
        <f t="shared" si="5"/>
        <v>1639.0904999999998</v>
      </c>
      <c r="F72" s="5">
        <f t="shared" si="5"/>
        <v>1688.2632149999997</v>
      </c>
      <c r="G72" s="5">
        <f t="shared" si="5"/>
        <v>1738.9111114499997</v>
      </c>
      <c r="H72" s="5">
        <f t="shared" si="5"/>
        <v>1791.0784447934998</v>
      </c>
      <c r="I72" s="5">
        <f t="shared" si="5"/>
        <v>1844.8107981373048</v>
      </c>
      <c r="J72" s="5">
        <f t="shared" si="5"/>
        <v>1900.155122081424</v>
      </c>
      <c r="K72" s="5">
        <f t="shared" si="5"/>
        <v>1957.1597757438667</v>
      </c>
      <c r="L72" s="5">
        <f t="shared" si="5"/>
        <v>2015.8745690161827</v>
      </c>
      <c r="M72" s="5">
        <f t="shared" si="5"/>
        <v>2076.3508060866684</v>
      </c>
      <c r="N72" s="5">
        <f t="shared" si="5"/>
        <v>2138.6413302692686</v>
      </c>
      <c r="O72" s="5">
        <f>AVERAGE(C72:N72)</f>
        <v>1827.2238060481843</v>
      </c>
    </row>
    <row r="73" spans="1:15" x14ac:dyDescent="0.3">
      <c r="A73" t="s">
        <v>189</v>
      </c>
    </row>
  </sheetData>
  <mergeCells count="7">
    <mergeCell ref="A65:J65"/>
    <mergeCell ref="A1:J1"/>
    <mergeCell ref="A2:J2"/>
    <mergeCell ref="A40:K40"/>
    <mergeCell ref="L40:N40"/>
    <mergeCell ref="A41:A42"/>
    <mergeCell ref="A60:K6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workbookViewId="0">
      <selection activeCell="A36" sqref="A36"/>
    </sheetView>
    <sheetView topLeftCell="G1" workbookViewId="1">
      <selection activeCell="K28" sqref="K28"/>
    </sheetView>
  </sheetViews>
  <sheetFormatPr defaultRowHeight="14.4" x14ac:dyDescent="0.3"/>
  <cols>
    <col min="1" max="1" width="61.33203125" customWidth="1"/>
    <col min="2" max="3" width="16.33203125" customWidth="1"/>
    <col min="4" max="4" width="17.88671875" style="5" customWidth="1"/>
    <col min="5" max="5" width="12" style="221" customWidth="1"/>
    <col min="6" max="6" width="14.109375" style="2" customWidth="1"/>
    <col min="7" max="7" width="14.33203125" style="2" customWidth="1"/>
    <col min="8" max="8" width="17.6640625" style="1" customWidth="1"/>
    <col min="9" max="10" width="15.33203125" style="1" customWidth="1"/>
    <col min="11" max="11" width="15.6640625" style="1" customWidth="1"/>
    <col min="12" max="15" width="15.33203125" customWidth="1"/>
    <col min="16" max="17" width="17.6640625" customWidth="1"/>
    <col min="18" max="18" width="15.44140625" customWidth="1"/>
  </cols>
  <sheetData>
    <row r="1" spans="1:11" s="18" customFormat="1" ht="18.600000000000001" thickBot="1" x14ac:dyDescent="0.4">
      <c r="A1" s="446" t="s">
        <v>338</v>
      </c>
      <c r="B1" s="446"/>
      <c r="C1" s="446"/>
      <c r="D1" s="446"/>
      <c r="E1" s="446"/>
      <c r="F1" s="446"/>
      <c r="G1" s="446"/>
      <c r="H1" s="446"/>
      <c r="I1" s="446"/>
      <c r="J1" s="446"/>
      <c r="K1" s="19"/>
    </row>
    <row r="2" spans="1:11" s="87" customFormat="1" ht="18" x14ac:dyDescent="0.35">
      <c r="A2" s="449" t="s">
        <v>82</v>
      </c>
      <c r="B2" s="450"/>
      <c r="C2" s="450"/>
      <c r="D2" s="450"/>
      <c r="E2" s="450"/>
      <c r="F2" s="450"/>
      <c r="G2" s="450"/>
      <c r="H2" s="450"/>
      <c r="I2" s="450"/>
      <c r="J2" s="450"/>
      <c r="K2" s="86"/>
    </row>
    <row r="3" spans="1:11" s="92" customFormat="1" ht="29.4" thickBot="1" x14ac:dyDescent="0.35">
      <c r="A3" s="220" t="s">
        <v>3</v>
      </c>
      <c r="B3" s="89" t="s">
        <v>58</v>
      </c>
      <c r="C3" s="90" t="s">
        <v>60</v>
      </c>
      <c r="D3" s="91" t="s">
        <v>57</v>
      </c>
      <c r="E3" s="92" t="s">
        <v>34</v>
      </c>
      <c r="F3" s="90" t="s">
        <v>53</v>
      </c>
      <c r="G3" s="90" t="s">
        <v>56</v>
      </c>
      <c r="H3" s="90" t="s">
        <v>306</v>
      </c>
      <c r="I3" s="92" t="s">
        <v>55</v>
      </c>
      <c r="J3" s="90" t="s">
        <v>54</v>
      </c>
    </row>
    <row r="4" spans="1:11" x14ac:dyDescent="0.3">
      <c r="A4" t="s">
        <v>36</v>
      </c>
      <c r="B4" s="2">
        <f>D4*E4</f>
        <v>1200000</v>
      </c>
      <c r="C4" s="1"/>
      <c r="D4" s="5">
        <v>600000</v>
      </c>
      <c r="E4" s="221">
        <v>2</v>
      </c>
      <c r="F4" s="8">
        <v>8</v>
      </c>
      <c r="G4" s="8">
        <v>560</v>
      </c>
      <c r="H4" s="8">
        <v>365</v>
      </c>
      <c r="I4" s="8">
        <f>H4*G4</f>
        <v>204400</v>
      </c>
      <c r="K4" s="1" t="s">
        <v>281</v>
      </c>
    </row>
    <row r="5" spans="1:11" x14ac:dyDescent="0.3">
      <c r="A5" t="s">
        <v>44</v>
      </c>
      <c r="B5" s="235">
        <f>B43</f>
        <v>40000</v>
      </c>
      <c r="C5" s="1"/>
      <c r="I5" s="49"/>
      <c r="K5" s="1" t="s">
        <v>281</v>
      </c>
    </row>
    <row r="6" spans="1:11" x14ac:dyDescent="0.3">
      <c r="A6" t="s">
        <v>45</v>
      </c>
      <c r="B6" s="235">
        <f t="shared" ref="B6:B8" si="0">B44</f>
        <v>25000</v>
      </c>
      <c r="C6" s="1"/>
      <c r="I6" s="49"/>
      <c r="K6" s="1" t="s">
        <v>281</v>
      </c>
    </row>
    <row r="7" spans="1:11" x14ac:dyDescent="0.3">
      <c r="A7" t="s">
        <v>46</v>
      </c>
      <c r="B7" s="235">
        <f t="shared" si="0"/>
        <v>75000</v>
      </c>
      <c r="C7" s="1"/>
      <c r="I7" s="49"/>
      <c r="K7" s="1" t="s">
        <v>438</v>
      </c>
    </row>
    <row r="8" spans="1:11" x14ac:dyDescent="0.3">
      <c r="A8" t="s">
        <v>47</v>
      </c>
      <c r="B8" s="235">
        <f t="shared" si="0"/>
        <v>10000</v>
      </c>
      <c r="C8" s="1"/>
      <c r="I8" s="49"/>
      <c r="K8" s="1" t="s">
        <v>438</v>
      </c>
    </row>
    <row r="9" spans="1:11" x14ac:dyDescent="0.3">
      <c r="A9" t="s">
        <v>216</v>
      </c>
      <c r="B9" s="235">
        <f>D9</f>
        <v>800000</v>
      </c>
      <c r="C9" s="1"/>
      <c r="D9" s="5">
        <v>800000</v>
      </c>
      <c r="I9" s="49"/>
      <c r="K9" s="1" t="s">
        <v>401</v>
      </c>
    </row>
    <row r="10" spans="1:11" x14ac:dyDescent="0.3">
      <c r="A10" t="s">
        <v>191</v>
      </c>
      <c r="B10" s="2">
        <f>D10*E10</f>
        <v>220000</v>
      </c>
      <c r="C10" s="1"/>
      <c r="D10" s="5">
        <v>110000</v>
      </c>
      <c r="E10" s="221">
        <v>2</v>
      </c>
      <c r="F10" s="8"/>
      <c r="G10" s="8"/>
      <c r="H10" s="8"/>
      <c r="I10" s="50"/>
      <c r="K10" s="1" t="s">
        <v>282</v>
      </c>
    </row>
    <row r="11" spans="1:11" x14ac:dyDescent="0.3">
      <c r="A11" t="s">
        <v>412</v>
      </c>
      <c r="B11" s="2">
        <f>I11*D11</f>
        <v>122640</v>
      </c>
      <c r="C11" s="1"/>
      <c r="D11" s="5">
        <v>0.6</v>
      </c>
      <c r="E11" s="221">
        <v>70</v>
      </c>
      <c r="F11" s="8">
        <v>8</v>
      </c>
      <c r="G11" s="8">
        <f>E11*F11</f>
        <v>560</v>
      </c>
      <c r="H11" s="8">
        <v>365</v>
      </c>
      <c r="I11" s="8">
        <f>H11*G11</f>
        <v>204400</v>
      </c>
      <c r="J11" s="1">
        <f>D11*G11</f>
        <v>336</v>
      </c>
      <c r="K11" s="1" t="s">
        <v>284</v>
      </c>
    </row>
    <row r="12" spans="1:11" x14ac:dyDescent="0.3">
      <c r="A12" t="s">
        <v>280</v>
      </c>
      <c r="B12" s="2">
        <f>'E Bus Fleet'!L11</f>
        <v>89300</v>
      </c>
      <c r="C12" s="1"/>
      <c r="E12" s="221">
        <v>2</v>
      </c>
      <c r="F12" s="8"/>
      <c r="G12" s="8"/>
      <c r="H12" s="8"/>
      <c r="I12" s="50"/>
      <c r="K12" s="1" t="s">
        <v>304</v>
      </c>
    </row>
    <row r="13" spans="1:11" x14ac:dyDescent="0.3">
      <c r="A13" t="s">
        <v>38</v>
      </c>
      <c r="B13" s="2">
        <f>C63</f>
        <v>0</v>
      </c>
      <c r="C13" s="1"/>
      <c r="F13" s="8"/>
      <c r="G13" s="8"/>
      <c r="H13" s="8"/>
      <c r="I13" s="50"/>
      <c r="K13" s="1" t="s">
        <v>285</v>
      </c>
    </row>
    <row r="14" spans="1:11" x14ac:dyDescent="0.3">
      <c r="A14" t="s">
        <v>209</v>
      </c>
      <c r="B14" s="2">
        <f>C62</f>
        <v>0</v>
      </c>
      <c r="C14" s="1"/>
      <c r="F14" s="8"/>
      <c r="G14" s="8"/>
      <c r="H14" s="8"/>
      <c r="I14" s="50"/>
      <c r="K14" s="1" t="s">
        <v>286</v>
      </c>
    </row>
    <row r="15" spans="1:11" x14ac:dyDescent="0.3">
      <c r="A15" t="s">
        <v>188</v>
      </c>
      <c r="B15" s="2"/>
      <c r="C15" s="1"/>
      <c r="F15" s="8"/>
      <c r="G15" s="8"/>
      <c r="H15" s="8"/>
      <c r="I15" s="50"/>
      <c r="K15" s="1" t="s">
        <v>287</v>
      </c>
    </row>
    <row r="16" spans="1:11" s="159" customFormat="1" x14ac:dyDescent="0.3">
      <c r="A16" s="157" t="s">
        <v>207</v>
      </c>
      <c r="B16" s="160">
        <v>30000</v>
      </c>
      <c r="C16" s="161"/>
      <c r="D16" s="162"/>
      <c r="E16" s="163"/>
      <c r="F16" s="164"/>
      <c r="G16" s="164"/>
      <c r="H16" s="164"/>
      <c r="I16" s="165"/>
      <c r="J16" s="161"/>
      <c r="K16" s="161" t="s">
        <v>410</v>
      </c>
    </row>
    <row r="17" spans="1:11" s="159" customFormat="1" x14ac:dyDescent="0.3">
      <c r="A17" s="157" t="s">
        <v>205</v>
      </c>
      <c r="B17" s="160">
        <v>25000</v>
      </c>
      <c r="C17" s="161">
        <v>0</v>
      </c>
      <c r="D17" s="162"/>
      <c r="E17" s="163"/>
      <c r="F17" s="164"/>
      <c r="G17" s="164"/>
      <c r="H17" s="164"/>
      <c r="I17" s="165"/>
      <c r="J17" s="161"/>
      <c r="K17" s="161" t="s">
        <v>409</v>
      </c>
    </row>
    <row r="18" spans="1:11" s="159" customFormat="1" x14ac:dyDescent="0.3">
      <c r="A18" s="157" t="s">
        <v>407</v>
      </c>
      <c r="B18" s="160">
        <v>58400</v>
      </c>
      <c r="C18" s="161"/>
      <c r="D18" s="162"/>
      <c r="E18" s="163"/>
      <c r="F18" s="164"/>
      <c r="G18" s="164"/>
      <c r="H18" s="164"/>
      <c r="I18" s="165"/>
      <c r="J18" s="161"/>
      <c r="K18" t="s">
        <v>408</v>
      </c>
    </row>
    <row r="19" spans="1:11" s="159" customFormat="1" x14ac:dyDescent="0.3">
      <c r="A19" t="s">
        <v>199</v>
      </c>
      <c r="B19" s="160"/>
      <c r="C19" s="161">
        <v>0</v>
      </c>
      <c r="D19" s="162"/>
      <c r="E19" s="163"/>
      <c r="F19" s="164"/>
      <c r="G19" s="164"/>
      <c r="H19" s="164"/>
      <c r="I19" s="165"/>
      <c r="J19" s="161"/>
      <c r="K19" s="161"/>
    </row>
    <row r="20" spans="1:11" s="159" customFormat="1" x14ac:dyDescent="0.3">
      <c r="A20" t="s">
        <v>40</v>
      </c>
      <c r="B20" s="160">
        <v>0</v>
      </c>
      <c r="C20" s="161">
        <v>0</v>
      </c>
      <c r="D20" s="162"/>
      <c r="E20" s="163"/>
      <c r="F20" s="164"/>
      <c r="G20" s="164"/>
      <c r="H20" s="164"/>
      <c r="I20" s="165"/>
      <c r="J20" s="161"/>
      <c r="K20" s="161"/>
    </row>
    <row r="21" spans="1:11" s="159" customFormat="1" x14ac:dyDescent="0.3">
      <c r="A21" t="s">
        <v>37</v>
      </c>
      <c r="B21" s="160">
        <v>0</v>
      </c>
      <c r="C21" s="161">
        <v>0</v>
      </c>
      <c r="D21" s="162"/>
      <c r="E21" s="163"/>
      <c r="F21" s="164"/>
      <c r="G21" s="164"/>
      <c r="H21" s="164"/>
      <c r="I21" s="165"/>
      <c r="J21" s="161"/>
      <c r="K21" s="161"/>
    </row>
    <row r="22" spans="1:11" s="159" customFormat="1" x14ac:dyDescent="0.3">
      <c r="A22" t="s">
        <v>2</v>
      </c>
      <c r="B22" s="160">
        <v>0</v>
      </c>
      <c r="C22" s="161">
        <v>0</v>
      </c>
      <c r="D22" s="162"/>
      <c r="E22" s="163"/>
      <c r="F22" s="164"/>
      <c r="G22" s="164"/>
      <c r="H22" s="164"/>
      <c r="I22" s="165"/>
      <c r="J22" s="161"/>
      <c r="K22" s="161"/>
    </row>
    <row r="23" spans="1:11" s="159" customFormat="1" x14ac:dyDescent="0.3">
      <c r="A23" t="s">
        <v>0</v>
      </c>
      <c r="B23" s="160">
        <v>0</v>
      </c>
      <c r="C23" s="161">
        <v>0</v>
      </c>
      <c r="D23" s="162"/>
      <c r="E23" s="163"/>
      <c r="F23" s="164"/>
      <c r="G23" s="164"/>
      <c r="H23" s="164"/>
      <c r="I23" s="165"/>
      <c r="J23" s="161"/>
      <c r="K23" s="161"/>
    </row>
    <row r="24" spans="1:11" s="159" customFormat="1" x14ac:dyDescent="0.3">
      <c r="A24" t="s">
        <v>42</v>
      </c>
      <c r="B24" s="160">
        <v>0</v>
      </c>
      <c r="C24" s="161">
        <v>0</v>
      </c>
      <c r="D24" s="162"/>
      <c r="E24" s="163"/>
      <c r="F24" s="164"/>
      <c r="G24" s="164"/>
      <c r="H24" s="164"/>
      <c r="I24" s="165"/>
      <c r="J24" s="161"/>
      <c r="K24" s="161"/>
    </row>
    <row r="25" spans="1:11" s="159" customFormat="1" x14ac:dyDescent="0.3">
      <c r="A25" t="s">
        <v>330</v>
      </c>
      <c r="B25" s="160">
        <f>B55</f>
        <v>12500</v>
      </c>
      <c r="C25" s="161">
        <v>0</v>
      </c>
      <c r="D25" s="162"/>
      <c r="E25" s="163"/>
      <c r="F25" s="164"/>
      <c r="G25" s="164"/>
      <c r="H25" s="164"/>
      <c r="I25" s="165"/>
      <c r="J25" s="161"/>
      <c r="K25" s="161"/>
    </row>
    <row r="26" spans="1:11" s="159" customFormat="1" x14ac:dyDescent="0.3">
      <c r="A26" t="s">
        <v>41</v>
      </c>
      <c r="B26" s="160">
        <v>0</v>
      </c>
      <c r="C26" s="161">
        <v>0</v>
      </c>
      <c r="D26" s="162"/>
      <c r="E26" s="163"/>
      <c r="F26" s="164"/>
      <c r="G26" s="164"/>
      <c r="H26" s="164"/>
      <c r="I26" s="165"/>
      <c r="J26" s="161"/>
      <c r="K26" s="161"/>
    </row>
    <row r="27" spans="1:11" s="159" customFormat="1" x14ac:dyDescent="0.3">
      <c r="A27" t="s">
        <v>206</v>
      </c>
      <c r="B27" s="160">
        <v>0</v>
      </c>
      <c r="C27" s="161">
        <v>0</v>
      </c>
      <c r="D27" s="162"/>
      <c r="E27" s="163"/>
      <c r="F27" s="164"/>
      <c r="G27" s="164"/>
      <c r="H27" s="164"/>
      <c r="I27" s="165"/>
      <c r="J27" s="161"/>
      <c r="K27" s="161"/>
    </row>
    <row r="28" spans="1:11" s="159" customFormat="1" x14ac:dyDescent="0.3">
      <c r="A28" s="159" t="s">
        <v>1</v>
      </c>
      <c r="B28" s="160">
        <v>0</v>
      </c>
      <c r="C28" s="161">
        <v>0</v>
      </c>
      <c r="D28" s="162"/>
      <c r="E28" s="163"/>
      <c r="F28" s="164"/>
      <c r="G28" s="164"/>
      <c r="H28" s="164"/>
      <c r="I28" s="165"/>
      <c r="J28" s="161"/>
      <c r="K28" s="161"/>
    </row>
    <row r="29" spans="1:11" s="159" customFormat="1" x14ac:dyDescent="0.3">
      <c r="A29" s="157" t="s">
        <v>354</v>
      </c>
      <c r="B29" s="160">
        <f>'Implementation Costs'!C7</f>
        <v>36450</v>
      </c>
      <c r="C29" s="161"/>
      <c r="D29" s="162"/>
      <c r="E29" s="163"/>
      <c r="F29" s="164"/>
      <c r="G29" s="164"/>
      <c r="H29" s="164"/>
      <c r="I29" s="165"/>
      <c r="J29" s="161"/>
      <c r="K29" s="161"/>
    </row>
    <row r="30" spans="1:11" s="159" customFormat="1" x14ac:dyDescent="0.3">
      <c r="A30" s="28" t="s">
        <v>355</v>
      </c>
      <c r="B30" s="160">
        <f>'Implementation Costs'!C8</f>
        <v>9720</v>
      </c>
      <c r="C30" s="161"/>
      <c r="D30" s="162"/>
      <c r="E30" s="163"/>
      <c r="F30" s="164"/>
      <c r="G30" s="164"/>
      <c r="H30" s="164"/>
      <c r="I30" s="165"/>
      <c r="J30" s="161"/>
      <c r="K30" s="161"/>
    </row>
    <row r="31" spans="1:11" s="159" customFormat="1" x14ac:dyDescent="0.3">
      <c r="A31" s="28" t="s">
        <v>356</v>
      </c>
      <c r="B31" s="160">
        <f>'Implementation Costs'!C9</f>
        <v>5400</v>
      </c>
      <c r="C31" s="161"/>
      <c r="D31" s="162"/>
      <c r="E31" s="163"/>
      <c r="F31" s="164"/>
      <c r="G31" s="164"/>
      <c r="H31" s="164"/>
      <c r="I31" s="165"/>
      <c r="J31" s="161"/>
      <c r="K31" s="161"/>
    </row>
    <row r="32" spans="1:11" s="159" customFormat="1" x14ac:dyDescent="0.3">
      <c r="A32" s="28" t="s">
        <v>358</v>
      </c>
      <c r="B32" s="160">
        <f>'Implementation Costs'!C10</f>
        <v>51840</v>
      </c>
      <c r="C32" s="161"/>
      <c r="D32" s="162"/>
      <c r="E32" s="163"/>
      <c r="F32" s="164"/>
      <c r="G32" s="164"/>
      <c r="H32" s="164"/>
      <c r="I32" s="165"/>
      <c r="J32" s="161"/>
      <c r="K32" s="161"/>
    </row>
    <row r="33" spans="1:14" s="159" customFormat="1" x14ac:dyDescent="0.3">
      <c r="A33" s="157" t="s">
        <v>208</v>
      </c>
      <c r="B33" s="160">
        <f>'Implementation Costs'!C11</f>
        <v>336420.00000000006</v>
      </c>
      <c r="C33" s="161">
        <v>0</v>
      </c>
      <c r="D33" s="162"/>
      <c r="E33" s="163"/>
      <c r="F33" s="164"/>
      <c r="G33" s="164"/>
      <c r="H33" s="164"/>
      <c r="I33" s="165"/>
      <c r="J33" s="161"/>
      <c r="K33" s="161"/>
    </row>
    <row r="34" spans="1:14" s="159" customFormat="1" x14ac:dyDescent="0.3">
      <c r="A34" s="157" t="s">
        <v>206</v>
      </c>
      <c r="B34" s="160"/>
      <c r="C34" s="161">
        <v>10000</v>
      </c>
      <c r="D34" s="162"/>
      <c r="E34" s="163"/>
      <c r="F34" s="164"/>
      <c r="G34" s="164"/>
      <c r="H34" s="164"/>
      <c r="I34" s="165"/>
      <c r="J34" s="161"/>
      <c r="K34" s="161" t="s">
        <v>410</v>
      </c>
    </row>
    <row r="35" spans="1:14" x14ac:dyDescent="0.3">
      <c r="A35" t="s">
        <v>212</v>
      </c>
      <c r="B35" s="2"/>
      <c r="C35" s="1">
        <v>2500</v>
      </c>
      <c r="F35" s="8"/>
      <c r="G35" s="8"/>
      <c r="H35" s="8"/>
      <c r="I35" s="50"/>
      <c r="K35" s="1" t="s">
        <v>430</v>
      </c>
    </row>
    <row r="36" spans="1:14" s="159" customFormat="1" x14ac:dyDescent="0.3">
      <c r="A36" s="159" t="s">
        <v>213</v>
      </c>
      <c r="B36" s="160"/>
      <c r="C36" s="161">
        <f>I36*D36</f>
        <v>59696</v>
      </c>
      <c r="D36" s="162">
        <v>0.41</v>
      </c>
      <c r="E36" s="163">
        <v>70</v>
      </c>
      <c r="F36" s="164">
        <v>8</v>
      </c>
      <c r="G36" s="8">
        <f>E36*F36</f>
        <v>560</v>
      </c>
      <c r="H36" s="164">
        <v>260</v>
      </c>
      <c r="I36" s="164">
        <f>H36*G36</f>
        <v>145600</v>
      </c>
      <c r="J36" s="161">
        <f>D36*G36</f>
        <v>229.6</v>
      </c>
      <c r="K36" s="161" t="s">
        <v>288</v>
      </c>
    </row>
    <row r="37" spans="1:14" x14ac:dyDescent="0.3">
      <c r="A37" t="s">
        <v>183</v>
      </c>
      <c r="B37" s="160">
        <v>0</v>
      </c>
      <c r="C37" s="52">
        <f>'Operating Cost Calcs'!C17</f>
        <v>337538.44129278604</v>
      </c>
      <c r="I37" s="51"/>
      <c r="K37" s="1" t="s">
        <v>283</v>
      </c>
    </row>
    <row r="38" spans="1:14" s="234" customFormat="1" ht="15.6" x14ac:dyDescent="0.3">
      <c r="A38" s="227" t="s">
        <v>197</v>
      </c>
      <c r="B38" s="228">
        <f>SUM(B4:B37)</f>
        <v>3147670</v>
      </c>
      <c r="C38" s="229">
        <f>SUM(C4:C37)</f>
        <v>409734.44129278604</v>
      </c>
      <c r="D38" s="230"/>
      <c r="E38" s="231"/>
      <c r="F38" s="232"/>
      <c r="G38" s="232"/>
      <c r="H38" s="233"/>
      <c r="I38" s="233"/>
      <c r="J38" s="233"/>
      <c r="K38" s="233"/>
    </row>
    <row r="39" spans="1:14" s="63" customFormat="1" x14ac:dyDescent="0.3">
      <c r="A39" s="97"/>
      <c r="B39" s="98"/>
      <c r="C39" s="99"/>
      <c r="D39" s="100"/>
      <c r="E39" s="71"/>
      <c r="F39" s="101"/>
      <c r="G39" s="101"/>
      <c r="H39" s="102"/>
      <c r="I39" s="102"/>
      <c r="J39" s="102"/>
      <c r="K39" s="102"/>
    </row>
    <row r="40" spans="1:14" s="70" customFormat="1" ht="18.600000000000001" thickBot="1" x14ac:dyDescent="0.4">
      <c r="A40" s="446" t="s">
        <v>181</v>
      </c>
      <c r="B40" s="446"/>
      <c r="C40" s="446"/>
      <c r="D40" s="446"/>
      <c r="E40" s="446"/>
      <c r="F40" s="446"/>
      <c r="G40" s="446"/>
      <c r="H40" s="446"/>
      <c r="I40" s="446"/>
      <c r="J40" s="446"/>
      <c r="K40" s="446"/>
      <c r="L40" s="451"/>
      <c r="M40" s="451"/>
      <c r="N40" s="451"/>
    </row>
    <row r="41" spans="1:14" s="93" customFormat="1" x14ac:dyDescent="0.3">
      <c r="A41" s="447" t="s">
        <v>39</v>
      </c>
      <c r="D41" s="270" t="s">
        <v>302</v>
      </c>
      <c r="E41" s="271" t="s">
        <v>292</v>
      </c>
      <c r="F41" s="271" t="s">
        <v>293</v>
      </c>
      <c r="G41" s="271" t="s">
        <v>294</v>
      </c>
      <c r="H41" s="272" t="s">
        <v>295</v>
      </c>
      <c r="I41" s="21"/>
      <c r="J41" s="21"/>
      <c r="K41" s="22"/>
      <c r="L41" s="72"/>
      <c r="M41" s="72"/>
      <c r="N41" s="72"/>
    </row>
    <row r="42" spans="1:14" s="94" customFormat="1" ht="15" thickBot="1" x14ac:dyDescent="0.35">
      <c r="A42" s="448"/>
      <c r="D42" s="273"/>
      <c r="E42" s="274"/>
      <c r="F42" s="274"/>
      <c r="G42" s="274"/>
      <c r="H42" s="275"/>
      <c r="I42" s="24"/>
      <c r="J42" s="24"/>
      <c r="K42" s="25"/>
      <c r="L42" s="73"/>
      <c r="M42" s="73"/>
      <c r="N42" s="73"/>
    </row>
    <row r="43" spans="1:14" s="236" customFormat="1" ht="15" customHeight="1" x14ac:dyDescent="0.3">
      <c r="A43" s="236" t="s">
        <v>44</v>
      </c>
      <c r="B43" s="237">
        <f>SUM(D43:K43)</f>
        <v>40000</v>
      </c>
      <c r="C43" s="238"/>
      <c r="D43" s="276">
        <v>40000</v>
      </c>
      <c r="E43" s="269"/>
      <c r="F43" s="269" t="s">
        <v>48</v>
      </c>
      <c r="G43" s="269" t="s">
        <v>48</v>
      </c>
      <c r="H43" s="277" t="s">
        <v>48</v>
      </c>
      <c r="I43" s="240"/>
      <c r="J43" s="240"/>
      <c r="K43" s="241"/>
      <c r="L43" s="240"/>
      <c r="M43" s="240"/>
      <c r="N43" s="240"/>
    </row>
    <row r="44" spans="1:14" s="236" customFormat="1" ht="15" customHeight="1" x14ac:dyDescent="0.3">
      <c r="A44" s="236" t="s">
        <v>45</v>
      </c>
      <c r="B44" s="238">
        <f t="shared" ref="B44:B59" si="1">SUM(D44:K44)</f>
        <v>25000</v>
      </c>
      <c r="C44" s="238"/>
      <c r="D44" s="276" t="s">
        <v>48</v>
      </c>
      <c r="E44" s="269" t="s">
        <v>48</v>
      </c>
      <c r="F44" s="269" t="s">
        <v>48</v>
      </c>
      <c r="G44" s="269"/>
      <c r="H44" s="277">
        <v>25000</v>
      </c>
      <c r="I44" s="240"/>
      <c r="J44" s="240"/>
      <c r="K44" s="242"/>
      <c r="L44" s="240"/>
      <c r="M44" s="240"/>
      <c r="N44" s="240"/>
    </row>
    <row r="45" spans="1:14" s="236" customFormat="1" ht="15" customHeight="1" x14ac:dyDescent="0.3">
      <c r="A45" s="236" t="s">
        <v>46</v>
      </c>
      <c r="B45" s="238">
        <f t="shared" si="1"/>
        <v>75000</v>
      </c>
      <c r="C45" s="238"/>
      <c r="D45" s="276"/>
      <c r="E45" s="269"/>
      <c r="F45" s="269" t="s">
        <v>48</v>
      </c>
      <c r="G45" s="269" t="s">
        <v>48</v>
      </c>
      <c r="H45" s="277">
        <v>75000</v>
      </c>
      <c r="I45" s="240"/>
      <c r="J45" s="240"/>
      <c r="K45" s="242"/>
      <c r="L45" s="240"/>
      <c r="M45" s="240"/>
      <c r="N45" s="240"/>
    </row>
    <row r="46" spans="1:14" s="236" customFormat="1" ht="15" customHeight="1" x14ac:dyDescent="0.3">
      <c r="A46" s="236" t="s">
        <v>47</v>
      </c>
      <c r="B46" s="238">
        <f t="shared" si="1"/>
        <v>10000</v>
      </c>
      <c r="C46" s="238"/>
      <c r="D46" s="276" t="s">
        <v>48</v>
      </c>
      <c r="E46" s="269" t="s">
        <v>48</v>
      </c>
      <c r="F46" s="269" t="s">
        <v>48</v>
      </c>
      <c r="G46" s="269" t="s">
        <v>48</v>
      </c>
      <c r="H46" s="277">
        <v>10000</v>
      </c>
      <c r="I46" s="240"/>
      <c r="J46" s="240"/>
      <c r="K46" s="244"/>
      <c r="L46" s="240"/>
      <c r="M46" s="240"/>
      <c r="N46" s="240"/>
    </row>
    <row r="47" spans="1:14" s="236" customFormat="1" ht="15" customHeight="1" x14ac:dyDescent="0.3">
      <c r="A47" s="236" t="s">
        <v>216</v>
      </c>
      <c r="B47" s="238">
        <f>SUM(D47:K47)</f>
        <v>0</v>
      </c>
      <c r="C47" s="238"/>
      <c r="D47" s="276" t="s">
        <v>48</v>
      </c>
      <c r="E47" s="269" t="s">
        <v>48</v>
      </c>
      <c r="F47" s="269" t="s">
        <v>48</v>
      </c>
      <c r="G47" s="269" t="s">
        <v>48</v>
      </c>
      <c r="H47" s="277" t="s">
        <v>48</v>
      </c>
      <c r="I47" s="240"/>
      <c r="J47" s="240"/>
      <c r="K47" s="242"/>
      <c r="L47" s="240"/>
      <c r="M47" s="240"/>
      <c r="N47" s="240"/>
    </row>
    <row r="48" spans="1:14" s="236" customFormat="1" ht="15" customHeight="1" x14ac:dyDescent="0.3">
      <c r="A48" s="236" t="s">
        <v>199</v>
      </c>
      <c r="B48" s="238">
        <f t="shared" ref="B48" si="2">SUM(D48:K48)</f>
        <v>0</v>
      </c>
      <c r="C48" s="238"/>
      <c r="D48" s="276"/>
      <c r="E48" s="269"/>
      <c r="F48" s="269"/>
      <c r="G48" s="269"/>
      <c r="H48" s="277"/>
      <c r="I48" s="240"/>
      <c r="J48" s="240"/>
      <c r="K48" s="244"/>
      <c r="L48" s="240"/>
      <c r="M48" s="240"/>
      <c r="N48" s="240"/>
    </row>
    <row r="49" spans="1:14" s="236" customFormat="1" ht="15" customHeight="1" x14ac:dyDescent="0.3">
      <c r="A49" s="236" t="s">
        <v>40</v>
      </c>
      <c r="B49" s="238">
        <f t="shared" si="1"/>
        <v>0</v>
      </c>
      <c r="C49" s="238"/>
      <c r="D49" s="276" t="s">
        <v>48</v>
      </c>
      <c r="E49" s="269" t="s">
        <v>48</v>
      </c>
      <c r="F49" s="269" t="s">
        <v>48</v>
      </c>
      <c r="G49" s="269" t="s">
        <v>48</v>
      </c>
      <c r="H49" s="277" t="s">
        <v>48</v>
      </c>
      <c r="I49" s="240"/>
      <c r="J49" s="240"/>
      <c r="K49" s="242"/>
      <c r="L49" s="240"/>
      <c r="M49" s="240"/>
      <c r="N49" s="240"/>
    </row>
    <row r="50" spans="1:14" s="236" customFormat="1" ht="15" customHeight="1" x14ac:dyDescent="0.3">
      <c r="A50" s="236" t="s">
        <v>38</v>
      </c>
      <c r="B50" s="238">
        <f t="shared" si="1"/>
        <v>0</v>
      </c>
      <c r="C50" s="238"/>
      <c r="D50" s="276" t="s">
        <v>48</v>
      </c>
      <c r="E50" s="269" t="s">
        <v>48</v>
      </c>
      <c r="F50" s="269" t="s">
        <v>48</v>
      </c>
      <c r="G50" s="269" t="s">
        <v>48</v>
      </c>
      <c r="H50" s="277"/>
      <c r="I50" s="240"/>
      <c r="J50" s="240"/>
      <c r="K50" s="242"/>
      <c r="L50" s="240"/>
      <c r="M50" s="240"/>
      <c r="N50" s="240"/>
    </row>
    <row r="51" spans="1:14" s="236" customFormat="1" ht="15" customHeight="1" x14ac:dyDescent="0.3">
      <c r="A51" s="236" t="s">
        <v>37</v>
      </c>
      <c r="B51" s="238">
        <f t="shared" si="1"/>
        <v>0</v>
      </c>
      <c r="C51" s="238"/>
      <c r="D51" s="276" t="s">
        <v>48</v>
      </c>
      <c r="E51" s="269" t="s">
        <v>48</v>
      </c>
      <c r="F51" s="269" t="s">
        <v>48</v>
      </c>
      <c r="G51" s="269" t="s">
        <v>48</v>
      </c>
      <c r="H51" s="277" t="s">
        <v>48</v>
      </c>
      <c r="I51" s="240"/>
      <c r="J51" s="240"/>
      <c r="K51" s="242"/>
      <c r="L51" s="240"/>
      <c r="M51" s="240"/>
      <c r="N51" s="240"/>
    </row>
    <row r="52" spans="1:14" s="236" customFormat="1" ht="15" customHeight="1" x14ac:dyDescent="0.3">
      <c r="A52" s="236" t="s">
        <v>2</v>
      </c>
      <c r="B52" s="238">
        <f t="shared" si="1"/>
        <v>0</v>
      </c>
      <c r="C52" s="238"/>
      <c r="D52" s="276" t="s">
        <v>48</v>
      </c>
      <c r="E52" s="269" t="s">
        <v>48</v>
      </c>
      <c r="F52" s="269" t="s">
        <v>48</v>
      </c>
      <c r="G52" s="269" t="s">
        <v>48</v>
      </c>
      <c r="H52" s="277" t="s">
        <v>48</v>
      </c>
      <c r="I52" s="240"/>
      <c r="J52" s="240"/>
      <c r="K52" s="242"/>
      <c r="L52" s="240"/>
      <c r="M52" s="240"/>
      <c r="N52" s="240"/>
    </row>
    <row r="53" spans="1:14" s="236" customFormat="1" ht="15" customHeight="1" x14ac:dyDescent="0.3">
      <c r="A53" s="236" t="s">
        <v>0</v>
      </c>
      <c r="B53" s="238">
        <f t="shared" si="1"/>
        <v>0</v>
      </c>
      <c r="C53" s="238"/>
      <c r="D53" s="276" t="s">
        <v>48</v>
      </c>
      <c r="E53" s="269" t="s">
        <v>48</v>
      </c>
      <c r="F53" s="269" t="s">
        <v>48</v>
      </c>
      <c r="G53" s="269" t="s">
        <v>48</v>
      </c>
      <c r="H53" s="277" t="s">
        <v>48</v>
      </c>
      <c r="I53" s="240"/>
      <c r="J53" s="240"/>
      <c r="K53" s="242"/>
      <c r="L53" s="240"/>
      <c r="M53" s="240"/>
      <c r="N53" s="240"/>
    </row>
    <row r="54" spans="1:14" s="236" customFormat="1" ht="15" customHeight="1" x14ac:dyDescent="0.3">
      <c r="A54" s="236" t="s">
        <v>42</v>
      </c>
      <c r="B54" s="238">
        <f t="shared" si="1"/>
        <v>0</v>
      </c>
      <c r="C54" s="238"/>
      <c r="D54" s="276" t="s">
        <v>48</v>
      </c>
      <c r="E54" s="269" t="s">
        <v>48</v>
      </c>
      <c r="F54" s="269" t="s">
        <v>48</v>
      </c>
      <c r="G54" s="269" t="s">
        <v>48</v>
      </c>
      <c r="H54" s="277" t="s">
        <v>48</v>
      </c>
      <c r="I54" s="240"/>
      <c r="J54" s="240"/>
      <c r="K54" s="242"/>
      <c r="L54" s="240"/>
      <c r="M54" s="240"/>
      <c r="N54" s="240"/>
    </row>
    <row r="55" spans="1:14" s="236" customFormat="1" ht="15" customHeight="1" x14ac:dyDescent="0.3">
      <c r="A55" s="236" t="s">
        <v>330</v>
      </c>
      <c r="B55" s="238">
        <f t="shared" si="1"/>
        <v>12500</v>
      </c>
      <c r="C55" s="238"/>
      <c r="D55" s="276">
        <v>2500</v>
      </c>
      <c r="E55" s="269">
        <v>2500</v>
      </c>
      <c r="F55" s="269">
        <v>2500</v>
      </c>
      <c r="G55" s="269">
        <v>2500</v>
      </c>
      <c r="H55" s="277">
        <v>2500</v>
      </c>
      <c r="I55" s="240"/>
      <c r="J55" s="240"/>
      <c r="K55" s="242"/>
      <c r="L55" s="240"/>
      <c r="M55" s="240"/>
      <c r="N55" s="240"/>
    </row>
    <row r="56" spans="1:14" s="236" customFormat="1" ht="15" customHeight="1" x14ac:dyDescent="0.3">
      <c r="A56" s="236" t="s">
        <v>41</v>
      </c>
      <c r="B56" s="238">
        <f t="shared" si="1"/>
        <v>0</v>
      </c>
      <c r="C56" s="238"/>
      <c r="D56" s="239"/>
      <c r="E56" s="240"/>
      <c r="F56" s="240"/>
      <c r="G56" s="240"/>
      <c r="H56" s="242"/>
      <c r="I56" s="240"/>
      <c r="J56" s="240"/>
      <c r="K56" s="242"/>
      <c r="L56" s="240"/>
      <c r="M56" s="240"/>
      <c r="N56" s="240"/>
    </row>
    <row r="57" spans="1:14" s="236" customFormat="1" ht="15" customHeight="1" x14ac:dyDescent="0.3">
      <c r="A57" s="236" t="s">
        <v>206</v>
      </c>
      <c r="B57" s="238">
        <f t="shared" si="1"/>
        <v>0</v>
      </c>
      <c r="C57" s="238"/>
      <c r="D57" s="239"/>
      <c r="E57" s="240"/>
      <c r="F57" s="240"/>
      <c r="G57" s="240"/>
      <c r="H57" s="242"/>
      <c r="I57" s="240"/>
      <c r="J57" s="240"/>
      <c r="K57" s="242"/>
      <c r="L57" s="240"/>
      <c r="M57" s="240"/>
      <c r="N57" s="240"/>
    </row>
    <row r="58" spans="1:14" s="245" customFormat="1" ht="15" customHeight="1" thickBot="1" x14ac:dyDescent="0.35">
      <c r="A58" s="245" t="s">
        <v>1</v>
      </c>
      <c r="B58" s="246">
        <f t="shared" si="1"/>
        <v>0</v>
      </c>
      <c r="C58" s="246"/>
      <c r="D58" s="247"/>
      <c r="E58" s="248"/>
      <c r="F58" s="248"/>
      <c r="G58" s="248"/>
      <c r="H58" s="249"/>
      <c r="I58" s="248"/>
      <c r="J58" s="248"/>
      <c r="K58" s="249"/>
      <c r="L58" s="248"/>
      <c r="M58" s="248"/>
      <c r="N58" s="248"/>
    </row>
    <row r="59" spans="1:14" s="250" customFormat="1" ht="20.399999999999999" customHeight="1" thickTop="1" thickBot="1" x14ac:dyDescent="0.35">
      <c r="A59" s="250" t="s">
        <v>198</v>
      </c>
      <c r="B59" s="251">
        <f t="shared" si="1"/>
        <v>162500</v>
      </c>
      <c r="C59" s="251"/>
      <c r="D59" s="252">
        <f t="shared" ref="D59:N59" si="3">SUM(D43:D58)</f>
        <v>42500</v>
      </c>
      <c r="E59" s="253">
        <f t="shared" si="3"/>
        <v>2500</v>
      </c>
      <c r="F59" s="253">
        <f t="shared" si="3"/>
        <v>2500</v>
      </c>
      <c r="G59" s="253">
        <f t="shared" si="3"/>
        <v>2500</v>
      </c>
      <c r="H59" s="254">
        <f t="shared" si="3"/>
        <v>112500</v>
      </c>
      <c r="I59" s="253">
        <f t="shared" si="3"/>
        <v>0</v>
      </c>
      <c r="J59" s="253">
        <f t="shared" si="3"/>
        <v>0</v>
      </c>
      <c r="K59" s="254">
        <f t="shared" si="3"/>
        <v>0</v>
      </c>
      <c r="L59" s="253">
        <f t="shared" si="3"/>
        <v>0</v>
      </c>
      <c r="M59" s="253">
        <f t="shared" si="3"/>
        <v>0</v>
      </c>
      <c r="N59" s="253">
        <f t="shared" si="3"/>
        <v>0</v>
      </c>
    </row>
    <row r="60" spans="1:14" s="18" customFormat="1" ht="18.600000000000001" thickBot="1" x14ac:dyDescent="0.4">
      <c r="A60" s="452" t="s">
        <v>180</v>
      </c>
      <c r="B60" s="452"/>
      <c r="C60" s="452"/>
      <c r="D60" s="452"/>
      <c r="E60" s="452"/>
      <c r="F60" s="452"/>
      <c r="G60" s="452"/>
      <c r="H60" s="452"/>
      <c r="I60" s="452"/>
      <c r="J60" s="452"/>
      <c r="K60" s="452"/>
      <c r="L60" s="74"/>
      <c r="M60" s="75"/>
      <c r="N60" s="74"/>
    </row>
    <row r="61" spans="1:14" s="93" customFormat="1" x14ac:dyDescent="0.3">
      <c r="A61" s="95"/>
      <c r="B61" s="93" t="s">
        <v>80</v>
      </c>
      <c r="C61" s="93" t="s">
        <v>81</v>
      </c>
      <c r="D61" s="21"/>
      <c r="E61" s="21"/>
      <c r="F61" s="21"/>
      <c r="L61" s="96"/>
      <c r="M61" s="72"/>
      <c r="N61" s="96"/>
    </row>
    <row r="62" spans="1:14" s="11" customFormat="1" ht="15" thickBot="1" x14ac:dyDescent="0.35">
      <c r="A62" s="11" t="s">
        <v>179</v>
      </c>
      <c r="B62" s="12">
        <f>SUM(D62:K62)</f>
        <v>0</v>
      </c>
      <c r="C62" s="12">
        <f>B62*12</f>
        <v>0</v>
      </c>
      <c r="D62" s="16"/>
      <c r="E62" s="16"/>
      <c r="F62" s="16"/>
      <c r="G62" s="13"/>
      <c r="H62" s="13"/>
      <c r="I62" s="13"/>
      <c r="J62" s="13"/>
      <c r="K62" s="13"/>
      <c r="L62" s="76"/>
      <c r="M62" s="77">
        <v>300</v>
      </c>
      <c r="N62" s="76"/>
    </row>
    <row r="63" spans="1:14" s="11" customFormat="1" ht="15.6" thickTop="1" thickBot="1" x14ac:dyDescent="0.35">
      <c r="A63" s="11" t="s">
        <v>210</v>
      </c>
      <c r="B63" s="12">
        <f>SUM(D63:K63)</f>
        <v>0</v>
      </c>
      <c r="C63" s="12">
        <f>B63*12</f>
        <v>0</v>
      </c>
      <c r="D63" s="16"/>
      <c r="E63" s="16"/>
      <c r="F63" s="16"/>
      <c r="G63" s="13"/>
      <c r="H63" s="13"/>
      <c r="I63" s="13"/>
      <c r="J63" s="13"/>
      <c r="K63" s="13"/>
      <c r="L63" s="76"/>
      <c r="M63" s="77">
        <v>300</v>
      </c>
      <c r="N63" s="76"/>
    </row>
    <row r="64" spans="1:14" s="9" customFormat="1" ht="15" thickTop="1" x14ac:dyDescent="0.3">
      <c r="A64" s="9" t="s">
        <v>328</v>
      </c>
      <c r="B64" s="80">
        <f t="shared" ref="B64:K64" si="4">SUM(B63:B63)</f>
        <v>0</v>
      </c>
      <c r="C64" s="80">
        <f t="shared" si="4"/>
        <v>0</v>
      </c>
      <c r="D64" s="10">
        <f t="shared" si="4"/>
        <v>0</v>
      </c>
      <c r="E64" s="10">
        <f t="shared" si="4"/>
        <v>0</v>
      </c>
      <c r="F64" s="10">
        <f t="shared" si="4"/>
        <v>0</v>
      </c>
      <c r="G64" s="10">
        <f t="shared" si="4"/>
        <v>0</v>
      </c>
      <c r="H64" s="10">
        <f t="shared" si="4"/>
        <v>0</v>
      </c>
      <c r="I64" s="10">
        <f t="shared" si="4"/>
        <v>0</v>
      </c>
      <c r="J64" s="10">
        <f t="shared" si="4"/>
        <v>0</v>
      </c>
      <c r="K64" s="10">
        <f t="shared" si="4"/>
        <v>0</v>
      </c>
    </row>
    <row r="65" spans="1:15" s="18" customFormat="1" ht="18" x14ac:dyDescent="0.35">
      <c r="A65" s="446" t="s">
        <v>148</v>
      </c>
      <c r="B65" s="446"/>
      <c r="C65" s="446"/>
      <c r="D65" s="446"/>
      <c r="E65" s="446"/>
      <c r="F65" s="446"/>
      <c r="G65" s="446"/>
      <c r="H65" s="446"/>
      <c r="I65" s="446"/>
      <c r="J65" s="446"/>
      <c r="K65" s="19"/>
    </row>
    <row r="66" spans="1:15" x14ac:dyDescent="0.3">
      <c r="A66" s="78" t="s">
        <v>83</v>
      </c>
      <c r="B66" s="78"/>
      <c r="C66" s="79"/>
      <c r="D66" s="81"/>
      <c r="E66" s="82"/>
      <c r="F66" s="83"/>
      <c r="G66" s="83"/>
      <c r="H66" s="84"/>
      <c r="I66" s="84"/>
      <c r="J66" s="84"/>
      <c r="K66" s="84"/>
    </row>
    <row r="68" spans="1:15" x14ac:dyDescent="0.3">
      <c r="A68" t="s">
        <v>193</v>
      </c>
    </row>
    <row r="69" spans="1:15" x14ac:dyDescent="0.3">
      <c r="A69" t="s">
        <v>192</v>
      </c>
    </row>
    <row r="70" spans="1:15" x14ac:dyDescent="0.3">
      <c r="A70" t="s">
        <v>187</v>
      </c>
    </row>
    <row r="71" spans="1:15" hidden="1" x14ac:dyDescent="0.3">
      <c r="B71">
        <v>2015</v>
      </c>
      <c r="C71">
        <v>2016</v>
      </c>
      <c r="D71">
        <v>2017</v>
      </c>
      <c r="E71">
        <v>2018</v>
      </c>
      <c r="F71">
        <v>2019</v>
      </c>
      <c r="G71">
        <v>2020</v>
      </c>
      <c r="H71">
        <v>2021</v>
      </c>
      <c r="I71">
        <v>2022</v>
      </c>
      <c r="J71">
        <v>2023</v>
      </c>
      <c r="K71">
        <v>2024</v>
      </c>
      <c r="L71">
        <v>2025</v>
      </c>
      <c r="M71">
        <v>2026</v>
      </c>
      <c r="N71">
        <v>2027</v>
      </c>
      <c r="O71" t="s">
        <v>147</v>
      </c>
    </row>
    <row r="72" spans="1:15" s="5" customFormat="1" x14ac:dyDescent="0.3">
      <c r="A72" s="153" t="s">
        <v>190</v>
      </c>
      <c r="B72" s="5">
        <v>1500</v>
      </c>
      <c r="C72" s="5">
        <f>B72 +(B72*0.03)</f>
        <v>1545</v>
      </c>
      <c r="D72" s="5">
        <f t="shared" ref="D72:N72" si="5">C72 +(C72*0.03)</f>
        <v>1591.35</v>
      </c>
      <c r="E72" s="5">
        <f t="shared" si="5"/>
        <v>1639.0904999999998</v>
      </c>
      <c r="F72" s="5">
        <f t="shared" si="5"/>
        <v>1688.2632149999997</v>
      </c>
      <c r="G72" s="5">
        <f t="shared" si="5"/>
        <v>1738.9111114499997</v>
      </c>
      <c r="H72" s="5">
        <f t="shared" si="5"/>
        <v>1791.0784447934998</v>
      </c>
      <c r="I72" s="5">
        <f t="shared" si="5"/>
        <v>1844.8107981373048</v>
      </c>
      <c r="J72" s="5">
        <f t="shared" si="5"/>
        <v>1900.155122081424</v>
      </c>
      <c r="K72" s="5">
        <f t="shared" si="5"/>
        <v>1957.1597757438667</v>
      </c>
      <c r="L72" s="5">
        <f t="shared" si="5"/>
        <v>2015.8745690161827</v>
      </c>
      <c r="M72" s="5">
        <f t="shared" si="5"/>
        <v>2076.3508060866684</v>
      </c>
      <c r="N72" s="5">
        <f t="shared" si="5"/>
        <v>2138.6413302692686</v>
      </c>
      <c r="O72" s="5">
        <f>AVERAGE(C72:N72)</f>
        <v>1827.2238060481843</v>
      </c>
    </row>
    <row r="73" spans="1:15" x14ac:dyDescent="0.3">
      <c r="A73" t="s">
        <v>189</v>
      </c>
    </row>
  </sheetData>
  <mergeCells count="7">
    <mergeCell ref="A65:J65"/>
    <mergeCell ref="A1:J1"/>
    <mergeCell ref="A2:J2"/>
    <mergeCell ref="A40:K40"/>
    <mergeCell ref="L40:N40"/>
    <mergeCell ref="A41:A42"/>
    <mergeCell ref="A60:K6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workbookViewId="0">
      <selection activeCell="A11" sqref="A11"/>
    </sheetView>
    <sheetView topLeftCell="E1" workbookViewId="1">
      <selection activeCell="K28" sqref="K28"/>
    </sheetView>
  </sheetViews>
  <sheetFormatPr defaultRowHeight="14.4" x14ac:dyDescent="0.3"/>
  <cols>
    <col min="1" max="1" width="61.33203125" customWidth="1"/>
    <col min="2" max="2" width="16.33203125" customWidth="1"/>
    <col min="3" max="3" width="16.33203125" style="3" customWidth="1"/>
    <col min="4" max="4" width="17.88671875" style="5" customWidth="1"/>
    <col min="5" max="5" width="12" style="221" customWidth="1"/>
    <col min="6" max="6" width="14.109375" style="2" customWidth="1"/>
    <col min="7" max="7" width="14.33203125" style="2" customWidth="1"/>
    <col min="8" max="8" width="17.6640625" style="1" customWidth="1"/>
    <col min="9" max="10" width="15.33203125" style="1" customWidth="1"/>
    <col min="11" max="11" width="15.6640625" style="1" customWidth="1"/>
    <col min="12" max="15" width="15.33203125" customWidth="1"/>
    <col min="16" max="17" width="17.6640625" customWidth="1"/>
    <col min="18" max="18" width="15.44140625" customWidth="1"/>
  </cols>
  <sheetData>
    <row r="1" spans="1:11" s="18" customFormat="1" ht="18.600000000000001" thickBot="1" x14ac:dyDescent="0.4">
      <c r="A1" s="446" t="s">
        <v>331</v>
      </c>
      <c r="B1" s="446"/>
      <c r="C1" s="446"/>
      <c r="D1" s="446"/>
      <c r="E1" s="446"/>
      <c r="F1" s="446"/>
      <c r="G1" s="446"/>
      <c r="H1" s="446"/>
      <c r="I1" s="446"/>
      <c r="J1" s="446"/>
      <c r="K1" s="19"/>
    </row>
    <row r="2" spans="1:11" s="87" customFormat="1" ht="18" x14ac:dyDescent="0.35">
      <c r="A2" s="449" t="s">
        <v>82</v>
      </c>
      <c r="B2" s="450"/>
      <c r="C2" s="450"/>
      <c r="D2" s="450"/>
      <c r="E2" s="450"/>
      <c r="F2" s="450"/>
      <c r="G2" s="450"/>
      <c r="H2" s="450"/>
      <c r="I2" s="450"/>
      <c r="J2" s="450"/>
      <c r="K2" s="86"/>
    </row>
    <row r="3" spans="1:11" s="92" customFormat="1" ht="29.4" thickBot="1" x14ac:dyDescent="0.35">
      <c r="A3" s="220" t="s">
        <v>3</v>
      </c>
      <c r="B3" s="89" t="s">
        <v>58</v>
      </c>
      <c r="C3" s="89" t="s">
        <v>60</v>
      </c>
      <c r="D3" s="91" t="s">
        <v>57</v>
      </c>
      <c r="E3" s="92" t="s">
        <v>34</v>
      </c>
      <c r="F3" s="90" t="s">
        <v>53</v>
      </c>
      <c r="G3" s="90" t="s">
        <v>56</v>
      </c>
      <c r="H3" s="90" t="s">
        <v>306</v>
      </c>
      <c r="I3" s="92" t="s">
        <v>55</v>
      </c>
      <c r="J3" s="90" t="s">
        <v>54</v>
      </c>
    </row>
    <row r="4" spans="1:11" x14ac:dyDescent="0.3">
      <c r="A4" t="s">
        <v>36</v>
      </c>
      <c r="B4" s="2">
        <f>D4*E4</f>
        <v>1200000</v>
      </c>
      <c r="C4" s="2"/>
      <c r="D4" s="5">
        <v>600000</v>
      </c>
      <c r="E4" s="221">
        <v>2</v>
      </c>
      <c r="F4" s="8">
        <v>8</v>
      </c>
      <c r="G4" s="8">
        <v>584</v>
      </c>
      <c r="H4" s="8">
        <v>260</v>
      </c>
      <c r="I4" s="8">
        <f>H4*G4</f>
        <v>151840</v>
      </c>
      <c r="K4" s="1" t="s">
        <v>281</v>
      </c>
    </row>
    <row r="5" spans="1:11" x14ac:dyDescent="0.3">
      <c r="A5" t="s">
        <v>44</v>
      </c>
      <c r="B5" s="235">
        <f>B43</f>
        <v>40000</v>
      </c>
      <c r="C5" s="2"/>
      <c r="I5" s="49"/>
      <c r="K5" s="1" t="s">
        <v>281</v>
      </c>
    </row>
    <row r="6" spans="1:11" x14ac:dyDescent="0.3">
      <c r="A6" t="s">
        <v>45</v>
      </c>
      <c r="B6" s="235">
        <f t="shared" ref="B6:B9" si="0">B44</f>
        <v>25000</v>
      </c>
      <c r="C6" s="2"/>
      <c r="I6" s="49"/>
      <c r="K6" s="1" t="s">
        <v>281</v>
      </c>
    </row>
    <row r="7" spans="1:11" x14ac:dyDescent="0.3">
      <c r="A7" t="s">
        <v>46</v>
      </c>
      <c r="B7" s="235">
        <f t="shared" si="0"/>
        <v>200000</v>
      </c>
      <c r="C7" s="2"/>
      <c r="I7" s="49"/>
      <c r="K7" s="1" t="s">
        <v>435</v>
      </c>
    </row>
    <row r="8" spans="1:11" x14ac:dyDescent="0.3">
      <c r="A8" t="s">
        <v>47</v>
      </c>
      <c r="B8" s="235">
        <f t="shared" si="0"/>
        <v>0</v>
      </c>
      <c r="C8" s="2"/>
      <c r="I8" s="49"/>
    </row>
    <row r="9" spans="1:11" x14ac:dyDescent="0.3">
      <c r="A9" t="s">
        <v>216</v>
      </c>
      <c r="B9" s="235">
        <f t="shared" si="0"/>
        <v>0</v>
      </c>
      <c r="C9" s="2"/>
      <c r="I9" s="49"/>
    </row>
    <row r="10" spans="1:11" x14ac:dyDescent="0.3">
      <c r="A10" t="s">
        <v>191</v>
      </c>
      <c r="B10" s="2">
        <f>D10*E10</f>
        <v>220000</v>
      </c>
      <c r="C10" s="2"/>
      <c r="D10" s="5">
        <v>110000</v>
      </c>
      <c r="E10" s="221">
        <v>2</v>
      </c>
      <c r="F10" s="8"/>
      <c r="G10" s="8"/>
      <c r="H10" s="8"/>
      <c r="I10" s="50"/>
      <c r="K10" s="1" t="s">
        <v>282</v>
      </c>
    </row>
    <row r="11" spans="1:11" x14ac:dyDescent="0.3">
      <c r="A11" t="s">
        <v>412</v>
      </c>
      <c r="B11" s="2">
        <f>I11*D11</f>
        <v>91104</v>
      </c>
      <c r="C11" s="2"/>
      <c r="D11" s="5">
        <v>0.6</v>
      </c>
      <c r="E11" s="221">
        <v>73</v>
      </c>
      <c r="F11" s="8">
        <v>8</v>
      </c>
      <c r="G11" s="8">
        <f>F11*E11</f>
        <v>584</v>
      </c>
      <c r="H11" s="8">
        <v>260</v>
      </c>
      <c r="I11" s="8">
        <f>H11*G11</f>
        <v>151840</v>
      </c>
      <c r="J11" s="1">
        <f>D11*G11</f>
        <v>350.4</v>
      </c>
      <c r="K11" s="1" t="s">
        <v>284</v>
      </c>
    </row>
    <row r="12" spans="1:11" x14ac:dyDescent="0.3">
      <c r="A12" t="s">
        <v>280</v>
      </c>
      <c r="B12" s="2">
        <f>'E Bus Fleet'!L12</f>
        <v>89300</v>
      </c>
      <c r="C12" s="2"/>
      <c r="E12" s="221">
        <v>2</v>
      </c>
      <c r="F12" s="8"/>
      <c r="G12" s="8"/>
      <c r="H12" s="8"/>
      <c r="I12" s="50"/>
      <c r="K12" s="1" t="s">
        <v>304</v>
      </c>
    </row>
    <row r="13" spans="1:11" x14ac:dyDescent="0.3">
      <c r="A13" t="s">
        <v>38</v>
      </c>
      <c r="B13" s="2">
        <f>C63</f>
        <v>0</v>
      </c>
      <c r="C13" s="2"/>
      <c r="F13" s="8"/>
      <c r="G13" s="8"/>
      <c r="H13" s="8"/>
      <c r="I13" s="50"/>
      <c r="K13" s="1" t="s">
        <v>285</v>
      </c>
    </row>
    <row r="14" spans="1:11" x14ac:dyDescent="0.3">
      <c r="A14" t="s">
        <v>209</v>
      </c>
      <c r="B14" s="2">
        <f>C62</f>
        <v>0</v>
      </c>
      <c r="C14" s="2"/>
      <c r="F14" s="8"/>
      <c r="G14" s="8"/>
      <c r="H14" s="8"/>
      <c r="I14" s="50"/>
      <c r="K14" s="1" t="s">
        <v>286</v>
      </c>
    </row>
    <row r="15" spans="1:11" x14ac:dyDescent="0.3">
      <c r="A15" t="s">
        <v>188</v>
      </c>
      <c r="B15" s="2">
        <v>0</v>
      </c>
      <c r="C15" s="2"/>
      <c r="F15" s="8"/>
      <c r="G15" s="8"/>
      <c r="H15" s="8"/>
      <c r="I15" s="50"/>
      <c r="K15" s="1" t="s">
        <v>287</v>
      </c>
    </row>
    <row r="16" spans="1:11" s="159" customFormat="1" x14ac:dyDescent="0.3">
      <c r="A16" s="157" t="s">
        <v>207</v>
      </c>
      <c r="B16" s="160">
        <v>30000</v>
      </c>
      <c r="C16" s="160"/>
      <c r="D16" s="162"/>
      <c r="E16" s="163"/>
      <c r="F16" s="164"/>
      <c r="G16" s="164"/>
      <c r="H16" s="164"/>
      <c r="I16" s="165"/>
      <c r="J16" s="161"/>
      <c r="K16" s="161" t="s">
        <v>410</v>
      </c>
    </row>
    <row r="17" spans="1:11" s="159" customFormat="1" x14ac:dyDescent="0.3">
      <c r="A17" s="157" t="s">
        <v>205</v>
      </c>
      <c r="B17" s="160">
        <v>25000</v>
      </c>
      <c r="C17" s="160">
        <v>0</v>
      </c>
      <c r="D17" s="162"/>
      <c r="E17" s="163"/>
      <c r="F17" s="164"/>
      <c r="G17" s="164"/>
      <c r="H17" s="164"/>
      <c r="I17" s="165"/>
      <c r="J17" s="161"/>
      <c r="K17" s="161" t="s">
        <v>409</v>
      </c>
    </row>
    <row r="18" spans="1:11" s="159" customFormat="1" x14ac:dyDescent="0.3">
      <c r="A18" s="157" t="s">
        <v>407</v>
      </c>
      <c r="B18" s="160">
        <v>41600</v>
      </c>
      <c r="C18" s="161"/>
      <c r="D18" s="162"/>
      <c r="E18" s="163"/>
      <c r="F18" s="164"/>
      <c r="G18" s="164"/>
      <c r="H18" s="164"/>
      <c r="I18" s="165"/>
      <c r="J18" s="161"/>
      <c r="K18" t="s">
        <v>411</v>
      </c>
    </row>
    <row r="19" spans="1:11" s="159" customFormat="1" x14ac:dyDescent="0.3">
      <c r="A19" t="s">
        <v>199</v>
      </c>
      <c r="B19" s="255">
        <f>B48</f>
        <v>2500</v>
      </c>
      <c r="C19" s="160">
        <v>0</v>
      </c>
      <c r="D19" s="162"/>
      <c r="E19" s="163"/>
      <c r="F19" s="164"/>
      <c r="G19" s="164"/>
      <c r="H19" s="164"/>
      <c r="I19" s="165"/>
      <c r="J19" s="161"/>
      <c r="K19" s="161"/>
    </row>
    <row r="20" spans="1:11" s="159" customFormat="1" x14ac:dyDescent="0.3">
      <c r="A20" t="s">
        <v>40</v>
      </c>
      <c r="B20" s="160">
        <v>0</v>
      </c>
      <c r="C20" s="160">
        <v>0</v>
      </c>
      <c r="D20" s="162"/>
      <c r="E20" s="163"/>
      <c r="F20" s="164"/>
      <c r="G20" s="164"/>
      <c r="H20" s="164"/>
      <c r="I20" s="165"/>
      <c r="J20" s="161"/>
      <c r="K20" s="161"/>
    </row>
    <row r="21" spans="1:11" s="159" customFormat="1" x14ac:dyDescent="0.3">
      <c r="A21" t="s">
        <v>38</v>
      </c>
      <c r="B21" s="160">
        <f>B50</f>
        <v>5000</v>
      </c>
      <c r="C21" s="160">
        <v>0</v>
      </c>
      <c r="D21" s="162"/>
      <c r="E21" s="163"/>
      <c r="F21" s="164"/>
      <c r="G21" s="164"/>
      <c r="H21" s="164"/>
      <c r="I21" s="165"/>
      <c r="J21" s="161"/>
      <c r="K21" s="161"/>
    </row>
    <row r="22" spans="1:11" s="159" customFormat="1" x14ac:dyDescent="0.3">
      <c r="A22" t="s">
        <v>2</v>
      </c>
      <c r="B22" s="160">
        <v>0</v>
      </c>
      <c r="C22" s="160">
        <v>0</v>
      </c>
      <c r="D22" s="162"/>
      <c r="E22" s="163"/>
      <c r="F22" s="164"/>
      <c r="G22" s="164"/>
      <c r="H22" s="164"/>
      <c r="I22" s="165"/>
      <c r="J22" s="161"/>
      <c r="K22" s="161"/>
    </row>
    <row r="23" spans="1:11" s="159" customFormat="1" x14ac:dyDescent="0.3">
      <c r="A23" t="s">
        <v>0</v>
      </c>
      <c r="B23" s="160">
        <v>0</v>
      </c>
      <c r="C23" s="160">
        <v>0</v>
      </c>
      <c r="D23" s="162"/>
      <c r="E23" s="163"/>
      <c r="F23" s="164"/>
      <c r="G23" s="164"/>
      <c r="H23" s="164"/>
      <c r="I23" s="165"/>
      <c r="J23" s="161"/>
      <c r="K23" s="161"/>
    </row>
    <row r="24" spans="1:11" s="159" customFormat="1" x14ac:dyDescent="0.3">
      <c r="A24" t="s">
        <v>42</v>
      </c>
      <c r="B24" s="160">
        <v>0</v>
      </c>
      <c r="C24" s="160">
        <v>0</v>
      </c>
      <c r="D24" s="162"/>
      <c r="E24" s="163"/>
      <c r="F24" s="164"/>
      <c r="G24" s="164"/>
      <c r="H24" s="164"/>
      <c r="I24" s="165"/>
      <c r="J24" s="161"/>
      <c r="K24" s="161"/>
    </row>
    <row r="25" spans="1:11" s="159" customFormat="1" x14ac:dyDescent="0.3">
      <c r="A25" t="s">
        <v>330</v>
      </c>
      <c r="B25" s="255">
        <f>B55</f>
        <v>10000</v>
      </c>
      <c r="C25" s="160">
        <v>0</v>
      </c>
      <c r="D25" s="162"/>
      <c r="E25" s="163"/>
      <c r="F25" s="164"/>
      <c r="G25" s="164"/>
      <c r="H25" s="164"/>
      <c r="I25" s="165"/>
      <c r="J25" s="161"/>
      <c r="K25" s="161"/>
    </row>
    <row r="26" spans="1:11" s="159" customFormat="1" x14ac:dyDescent="0.3">
      <c r="A26" t="s">
        <v>41</v>
      </c>
      <c r="B26" s="160">
        <v>0</v>
      </c>
      <c r="C26" s="160">
        <v>0</v>
      </c>
      <c r="D26" s="162"/>
      <c r="E26" s="163"/>
      <c r="F26" s="164"/>
      <c r="G26" s="164"/>
      <c r="H26" s="164"/>
      <c r="I26" s="165"/>
      <c r="J26" s="161"/>
      <c r="K26" s="161"/>
    </row>
    <row r="27" spans="1:11" s="159" customFormat="1" x14ac:dyDescent="0.3">
      <c r="A27" t="s">
        <v>206</v>
      </c>
      <c r="B27" s="160">
        <v>0</v>
      </c>
      <c r="C27" s="160">
        <v>0</v>
      </c>
      <c r="D27" s="162"/>
      <c r="E27" s="163"/>
      <c r="F27" s="164"/>
      <c r="G27" s="164"/>
      <c r="H27" s="164"/>
      <c r="I27" s="165"/>
      <c r="J27" s="161"/>
      <c r="K27" s="161"/>
    </row>
    <row r="28" spans="1:11" s="159" customFormat="1" x14ac:dyDescent="0.3">
      <c r="A28" s="159" t="s">
        <v>1</v>
      </c>
      <c r="B28" s="160">
        <v>0</v>
      </c>
      <c r="C28" s="160">
        <v>0</v>
      </c>
      <c r="D28" s="162"/>
      <c r="E28" s="163"/>
      <c r="F28" s="164"/>
      <c r="G28" s="164"/>
      <c r="H28" s="164"/>
      <c r="I28" s="165"/>
      <c r="J28" s="161"/>
      <c r="K28" s="161"/>
    </row>
    <row r="29" spans="1:11" s="159" customFormat="1" x14ac:dyDescent="0.3">
      <c r="A29" s="157" t="s">
        <v>354</v>
      </c>
      <c r="B29" s="160">
        <f>'Implementation Costs'!C7</f>
        <v>36450</v>
      </c>
      <c r="C29" s="160"/>
      <c r="D29" s="162"/>
      <c r="E29" s="163"/>
      <c r="F29" s="164"/>
      <c r="G29" s="164"/>
      <c r="H29" s="164"/>
      <c r="I29" s="165"/>
      <c r="J29" s="161"/>
      <c r="K29" s="161"/>
    </row>
    <row r="30" spans="1:11" s="159" customFormat="1" x14ac:dyDescent="0.3">
      <c r="A30" s="28" t="s">
        <v>355</v>
      </c>
      <c r="B30" s="160">
        <f>'Implementation Costs'!C8</f>
        <v>9720</v>
      </c>
      <c r="C30" s="160"/>
      <c r="D30" s="162"/>
      <c r="E30" s="163"/>
      <c r="F30" s="164"/>
      <c r="G30" s="164"/>
      <c r="H30" s="164"/>
      <c r="I30" s="165"/>
      <c r="J30" s="161"/>
      <c r="K30" s="161"/>
    </row>
    <row r="31" spans="1:11" s="159" customFormat="1" x14ac:dyDescent="0.3">
      <c r="A31" s="28" t="s">
        <v>356</v>
      </c>
      <c r="B31" s="160">
        <f>'Implementation Costs'!C9</f>
        <v>5400</v>
      </c>
      <c r="C31" s="160"/>
      <c r="D31" s="162"/>
      <c r="E31" s="163"/>
      <c r="F31" s="164"/>
      <c r="G31" s="164"/>
      <c r="H31" s="164"/>
      <c r="I31" s="165"/>
      <c r="J31" s="161"/>
      <c r="K31" s="161"/>
    </row>
    <row r="32" spans="1:11" s="159" customFormat="1" x14ac:dyDescent="0.3">
      <c r="A32" s="28" t="s">
        <v>358</v>
      </c>
      <c r="B32" s="160">
        <f>'Implementation Costs'!C10</f>
        <v>51840</v>
      </c>
      <c r="C32" s="160"/>
      <c r="D32" s="162"/>
      <c r="E32" s="163"/>
      <c r="F32" s="164"/>
      <c r="G32" s="164"/>
      <c r="H32" s="164"/>
      <c r="I32" s="165"/>
      <c r="J32" s="161"/>
      <c r="K32" s="161"/>
    </row>
    <row r="33" spans="1:14" s="159" customFormat="1" x14ac:dyDescent="0.3">
      <c r="A33" s="157" t="s">
        <v>208</v>
      </c>
      <c r="B33" s="160">
        <f>'Implementation Costs'!C11</f>
        <v>336420.00000000006</v>
      </c>
      <c r="C33" s="160">
        <v>0</v>
      </c>
      <c r="D33" s="162"/>
      <c r="E33" s="163"/>
      <c r="F33" s="164"/>
      <c r="G33" s="164"/>
      <c r="H33" s="164"/>
      <c r="I33" s="165"/>
      <c r="J33" s="161"/>
      <c r="K33" s="161"/>
    </row>
    <row r="34" spans="1:14" s="159" customFormat="1" x14ac:dyDescent="0.3">
      <c r="A34" s="157" t="s">
        <v>206</v>
      </c>
      <c r="B34" s="160">
        <v>0</v>
      </c>
      <c r="C34" s="160">
        <v>10000</v>
      </c>
      <c r="D34" s="162"/>
      <c r="E34" s="163"/>
      <c r="F34" s="164"/>
      <c r="G34" s="164"/>
      <c r="H34" s="164"/>
      <c r="I34" s="165"/>
      <c r="J34" s="161"/>
      <c r="K34" s="161" t="s">
        <v>410</v>
      </c>
    </row>
    <row r="35" spans="1:14" x14ac:dyDescent="0.3">
      <c r="A35" t="s">
        <v>212</v>
      </c>
      <c r="B35" s="2">
        <v>0</v>
      </c>
      <c r="C35" s="2">
        <v>2500</v>
      </c>
      <c r="F35" s="8"/>
      <c r="G35" s="8"/>
      <c r="H35" s="8"/>
      <c r="I35" s="50"/>
      <c r="K35" s="1" t="s">
        <v>430</v>
      </c>
    </row>
    <row r="36" spans="1:14" s="159" customFormat="1" x14ac:dyDescent="0.3">
      <c r="A36" s="159" t="s">
        <v>213</v>
      </c>
      <c r="B36" s="160"/>
      <c r="C36" s="160">
        <f>I36*D36</f>
        <v>62254.399999999994</v>
      </c>
      <c r="D36" s="162">
        <v>0.41</v>
      </c>
      <c r="E36" s="163">
        <v>73</v>
      </c>
      <c r="F36" s="164">
        <v>8</v>
      </c>
      <c r="G36" s="164">
        <f>F36*E36</f>
        <v>584</v>
      </c>
      <c r="H36" s="164">
        <v>260</v>
      </c>
      <c r="I36" s="164">
        <f>H36*G36</f>
        <v>151840</v>
      </c>
      <c r="J36" s="161">
        <f>D36*G36</f>
        <v>239.44</v>
      </c>
      <c r="K36" s="161" t="s">
        <v>288</v>
      </c>
    </row>
    <row r="37" spans="1:14" s="11" customFormat="1" ht="15" thickBot="1" x14ac:dyDescent="0.35">
      <c r="A37" s="11" t="s">
        <v>183</v>
      </c>
      <c r="B37" s="15">
        <v>0</v>
      </c>
      <c r="C37" s="293">
        <f>'Operating Cost Calcs'!E17</f>
        <v>337538.44129278604</v>
      </c>
      <c r="D37" s="13"/>
      <c r="E37" s="14"/>
      <c r="F37" s="15"/>
      <c r="G37" s="15"/>
      <c r="H37" s="16"/>
      <c r="I37" s="292"/>
      <c r="J37" s="16"/>
      <c r="K37" s="16" t="s">
        <v>283</v>
      </c>
    </row>
    <row r="38" spans="1:14" s="234" customFormat="1" ht="16.2" thickTop="1" x14ac:dyDescent="0.3">
      <c r="A38" s="227" t="s">
        <v>197</v>
      </c>
      <c r="B38" s="228">
        <f>SUM(B4:B37)</f>
        <v>2419334</v>
      </c>
      <c r="C38" s="228">
        <f>SUM(C4:C37)</f>
        <v>412292.84129278606</v>
      </c>
      <c r="D38" s="230"/>
      <c r="E38" s="231"/>
      <c r="F38" s="232"/>
      <c r="G38" s="232"/>
      <c r="H38" s="233"/>
      <c r="I38" s="233"/>
      <c r="J38" s="233"/>
      <c r="K38" s="233"/>
    </row>
    <row r="39" spans="1:14" s="63" customFormat="1" x14ac:dyDescent="0.3">
      <c r="A39" s="97"/>
      <c r="B39" s="98"/>
      <c r="C39" s="98"/>
      <c r="D39" s="100"/>
      <c r="E39" s="71"/>
      <c r="F39" s="101"/>
      <c r="G39" s="101"/>
      <c r="H39" s="102"/>
      <c r="I39" s="102"/>
      <c r="J39" s="102"/>
      <c r="K39" s="102"/>
    </row>
    <row r="40" spans="1:14" s="70" customFormat="1" ht="18.600000000000001" thickBot="1" x14ac:dyDescent="0.4">
      <c r="A40" s="446" t="s">
        <v>181</v>
      </c>
      <c r="B40" s="446"/>
      <c r="C40" s="446"/>
      <c r="D40" s="446"/>
      <c r="E40" s="446"/>
      <c r="F40" s="446"/>
      <c r="G40" s="446"/>
      <c r="H40" s="446"/>
      <c r="I40" s="446"/>
      <c r="J40" s="446"/>
      <c r="K40" s="446"/>
      <c r="L40" s="451"/>
      <c r="M40" s="451"/>
      <c r="N40" s="451"/>
    </row>
    <row r="41" spans="1:14" s="93" customFormat="1" x14ac:dyDescent="0.3">
      <c r="A41" s="447" t="s">
        <v>39</v>
      </c>
      <c r="C41" s="284"/>
      <c r="D41" s="453" t="s">
        <v>291</v>
      </c>
      <c r="E41" s="21" t="s">
        <v>67</v>
      </c>
      <c r="F41" s="21" t="s">
        <v>289</v>
      </c>
      <c r="G41" s="21" t="s">
        <v>290</v>
      </c>
      <c r="H41" s="22" t="s">
        <v>68</v>
      </c>
      <c r="I41" s="21"/>
      <c r="J41" s="21"/>
      <c r="K41" s="22"/>
      <c r="L41" s="72"/>
      <c r="M41" s="72"/>
      <c r="N41" s="72"/>
    </row>
    <row r="42" spans="1:14" s="94" customFormat="1" ht="15" thickBot="1" x14ac:dyDescent="0.35">
      <c r="A42" s="448"/>
      <c r="C42" s="285"/>
      <c r="D42" s="454"/>
      <c r="E42" s="267"/>
      <c r="F42" s="267"/>
      <c r="G42" s="267"/>
      <c r="H42" s="268"/>
      <c r="I42" s="24"/>
      <c r="J42" s="24"/>
      <c r="K42" s="25"/>
      <c r="L42" s="73"/>
      <c r="M42" s="73"/>
      <c r="N42" s="73"/>
    </row>
    <row r="43" spans="1:14" s="236" customFormat="1" ht="15" customHeight="1" x14ac:dyDescent="0.3">
      <c r="A43" s="236" t="s">
        <v>44</v>
      </c>
      <c r="B43" s="237">
        <f>SUM(D43:K43)</f>
        <v>40000</v>
      </c>
      <c r="C43" s="286"/>
      <c r="D43" s="239">
        <v>40000</v>
      </c>
      <c r="E43" s="240"/>
      <c r="F43" s="240" t="s">
        <v>48</v>
      </c>
      <c r="G43" s="240" t="s">
        <v>48</v>
      </c>
      <c r="H43" s="242" t="s">
        <v>48</v>
      </c>
      <c r="I43" s="240"/>
      <c r="J43" s="240"/>
      <c r="K43" s="241"/>
      <c r="L43" s="240"/>
      <c r="M43" s="240"/>
      <c r="N43" s="240"/>
    </row>
    <row r="44" spans="1:14" s="236" customFormat="1" ht="15" customHeight="1" x14ac:dyDescent="0.3">
      <c r="A44" s="236" t="s">
        <v>45</v>
      </c>
      <c r="B44" s="238">
        <f t="shared" ref="B44:B59" si="1">SUM(D44:K44)</f>
        <v>25000</v>
      </c>
      <c r="C44" s="286"/>
      <c r="D44" s="239" t="s">
        <v>48</v>
      </c>
      <c r="E44" s="240" t="s">
        <v>48</v>
      </c>
      <c r="F44" s="240" t="s">
        <v>48</v>
      </c>
      <c r="G44" s="240"/>
      <c r="H44" s="242">
        <v>25000</v>
      </c>
      <c r="I44" s="240"/>
      <c r="J44" s="240"/>
      <c r="K44" s="242"/>
      <c r="L44" s="240"/>
      <c r="M44" s="240"/>
      <c r="N44" s="240"/>
    </row>
    <row r="45" spans="1:14" s="236" customFormat="1" ht="15" customHeight="1" x14ac:dyDescent="0.3">
      <c r="A45" s="236" t="s">
        <v>46</v>
      </c>
      <c r="B45" s="238">
        <f t="shared" si="1"/>
        <v>200000</v>
      </c>
      <c r="C45" s="286"/>
      <c r="D45" s="239">
        <v>200000</v>
      </c>
      <c r="E45" s="240"/>
      <c r="F45" s="240" t="s">
        <v>48</v>
      </c>
      <c r="G45" s="240" t="s">
        <v>48</v>
      </c>
      <c r="H45" s="242" t="s">
        <v>48</v>
      </c>
      <c r="I45" s="240"/>
      <c r="J45" s="240"/>
      <c r="K45" s="242"/>
      <c r="L45" s="240"/>
      <c r="M45" s="240"/>
      <c r="N45" s="240"/>
    </row>
    <row r="46" spans="1:14" s="236" customFormat="1" ht="15" customHeight="1" x14ac:dyDescent="0.3">
      <c r="A46" s="236" t="s">
        <v>47</v>
      </c>
      <c r="B46" s="238">
        <f t="shared" si="1"/>
        <v>0</v>
      </c>
      <c r="C46" s="286"/>
      <c r="D46" s="239" t="s">
        <v>48</v>
      </c>
      <c r="E46" s="240" t="s">
        <v>48</v>
      </c>
      <c r="F46" s="240" t="s">
        <v>48</v>
      </c>
      <c r="G46" s="240" t="s">
        <v>48</v>
      </c>
      <c r="H46" s="242" t="s">
        <v>48</v>
      </c>
      <c r="I46" s="240"/>
      <c r="J46" s="240"/>
      <c r="K46" s="244"/>
      <c r="L46" s="240"/>
      <c r="M46" s="240"/>
      <c r="N46" s="240"/>
    </row>
    <row r="47" spans="1:14" s="236" customFormat="1" ht="15" customHeight="1" x14ac:dyDescent="0.3">
      <c r="A47" s="236" t="s">
        <v>216</v>
      </c>
      <c r="B47" s="238">
        <f>SUM(D47:K47)</f>
        <v>0</v>
      </c>
      <c r="C47" s="286"/>
      <c r="D47" s="239" t="s">
        <v>48</v>
      </c>
      <c r="E47" s="240" t="s">
        <v>48</v>
      </c>
      <c r="F47" s="240" t="s">
        <v>48</v>
      </c>
      <c r="G47" s="240" t="s">
        <v>48</v>
      </c>
      <c r="H47" s="242" t="s">
        <v>48</v>
      </c>
      <c r="I47" s="240"/>
      <c r="J47" s="240"/>
      <c r="K47" s="242"/>
      <c r="L47" s="240"/>
      <c r="M47" s="240"/>
      <c r="N47" s="240"/>
    </row>
    <row r="48" spans="1:14" s="236" customFormat="1" ht="15" customHeight="1" x14ac:dyDescent="0.3">
      <c r="A48" s="236" t="s">
        <v>199</v>
      </c>
      <c r="B48" s="238">
        <f t="shared" ref="B48" si="2">SUM(D48:K48)</f>
        <v>2500</v>
      </c>
      <c r="C48" s="286"/>
      <c r="D48" s="239">
        <v>500</v>
      </c>
      <c r="E48" s="240">
        <v>500</v>
      </c>
      <c r="F48" s="240">
        <v>500</v>
      </c>
      <c r="G48" s="240">
        <v>500</v>
      </c>
      <c r="H48" s="242">
        <v>500</v>
      </c>
      <c r="I48" s="240"/>
      <c r="J48" s="240"/>
      <c r="K48" s="244"/>
      <c r="L48" s="240"/>
      <c r="M48" s="240"/>
      <c r="N48" s="240"/>
    </row>
    <row r="49" spans="1:14" s="236" customFormat="1" ht="15" customHeight="1" x14ac:dyDescent="0.3">
      <c r="A49" s="236" t="s">
        <v>40</v>
      </c>
      <c r="B49" s="238">
        <f t="shared" si="1"/>
        <v>0</v>
      </c>
      <c r="C49" s="286"/>
      <c r="D49" s="239" t="s">
        <v>48</v>
      </c>
      <c r="E49" s="240" t="s">
        <v>48</v>
      </c>
      <c r="F49" s="240" t="s">
        <v>48</v>
      </c>
      <c r="G49" s="240" t="s">
        <v>48</v>
      </c>
      <c r="H49" s="242" t="s">
        <v>48</v>
      </c>
      <c r="I49" s="240"/>
      <c r="J49" s="240"/>
      <c r="K49" s="242"/>
      <c r="L49" s="240"/>
      <c r="M49" s="240"/>
      <c r="N49" s="240"/>
    </row>
    <row r="50" spans="1:14" s="236" customFormat="1" ht="15" customHeight="1" x14ac:dyDescent="0.3">
      <c r="A50" s="236" t="s">
        <v>38</v>
      </c>
      <c r="B50" s="238">
        <f t="shared" si="1"/>
        <v>5000</v>
      </c>
      <c r="C50" s="286"/>
      <c r="D50" s="239" t="s">
        <v>48</v>
      </c>
      <c r="E50" s="240" t="s">
        <v>48</v>
      </c>
      <c r="F50" s="240" t="s">
        <v>48</v>
      </c>
      <c r="G50" s="240" t="s">
        <v>48</v>
      </c>
      <c r="H50" s="242">
        <v>5000</v>
      </c>
      <c r="I50" s="240"/>
      <c r="J50" s="240"/>
      <c r="K50" s="242"/>
      <c r="L50" s="240"/>
      <c r="M50" s="240"/>
      <c r="N50" s="240"/>
    </row>
    <row r="51" spans="1:14" s="236" customFormat="1" ht="15" customHeight="1" x14ac:dyDescent="0.3">
      <c r="A51" s="236" t="s">
        <v>37</v>
      </c>
      <c r="B51" s="238">
        <f t="shared" si="1"/>
        <v>0</v>
      </c>
      <c r="C51" s="286"/>
      <c r="D51" s="239" t="s">
        <v>48</v>
      </c>
      <c r="E51" s="240" t="s">
        <v>48</v>
      </c>
      <c r="F51" s="240" t="s">
        <v>48</v>
      </c>
      <c r="G51" s="240" t="s">
        <v>48</v>
      </c>
      <c r="H51" s="242" t="s">
        <v>48</v>
      </c>
      <c r="I51" s="240"/>
      <c r="J51" s="240"/>
      <c r="K51" s="242"/>
      <c r="L51" s="240"/>
      <c r="M51" s="240"/>
      <c r="N51" s="240"/>
    </row>
    <row r="52" spans="1:14" s="236" customFormat="1" ht="15" customHeight="1" x14ac:dyDescent="0.3">
      <c r="A52" s="236" t="s">
        <v>2</v>
      </c>
      <c r="B52" s="238">
        <f t="shared" si="1"/>
        <v>0</v>
      </c>
      <c r="C52" s="286"/>
      <c r="D52" s="239" t="s">
        <v>48</v>
      </c>
      <c r="E52" s="240" t="s">
        <v>48</v>
      </c>
      <c r="F52" s="240" t="s">
        <v>48</v>
      </c>
      <c r="G52" s="240" t="s">
        <v>48</v>
      </c>
      <c r="H52" s="242" t="s">
        <v>48</v>
      </c>
      <c r="I52" s="240"/>
      <c r="J52" s="240"/>
      <c r="K52" s="242"/>
      <c r="L52" s="240"/>
      <c r="M52" s="240"/>
      <c r="N52" s="240"/>
    </row>
    <row r="53" spans="1:14" s="236" customFormat="1" ht="15" customHeight="1" x14ac:dyDescent="0.3">
      <c r="A53" s="236" t="s">
        <v>0</v>
      </c>
      <c r="B53" s="238">
        <f t="shared" si="1"/>
        <v>0</v>
      </c>
      <c r="C53" s="286"/>
      <c r="D53" s="239" t="s">
        <v>48</v>
      </c>
      <c r="E53" s="240" t="s">
        <v>48</v>
      </c>
      <c r="F53" s="240" t="s">
        <v>48</v>
      </c>
      <c r="G53" s="240" t="s">
        <v>48</v>
      </c>
      <c r="H53" s="242" t="s">
        <v>48</v>
      </c>
      <c r="I53" s="240"/>
      <c r="J53" s="240"/>
      <c r="K53" s="242"/>
      <c r="L53" s="240"/>
      <c r="M53" s="240"/>
      <c r="N53" s="240"/>
    </row>
    <row r="54" spans="1:14" s="236" customFormat="1" ht="15" customHeight="1" x14ac:dyDescent="0.3">
      <c r="A54" s="236" t="s">
        <v>42</v>
      </c>
      <c r="B54" s="238">
        <f t="shared" si="1"/>
        <v>0</v>
      </c>
      <c r="C54" s="286"/>
      <c r="D54" s="239" t="s">
        <v>48</v>
      </c>
      <c r="E54" s="240" t="s">
        <v>48</v>
      </c>
      <c r="F54" s="240" t="s">
        <v>48</v>
      </c>
      <c r="G54" s="240" t="s">
        <v>48</v>
      </c>
      <c r="H54" s="242" t="s">
        <v>48</v>
      </c>
      <c r="I54" s="240"/>
      <c r="J54" s="240"/>
      <c r="K54" s="242"/>
      <c r="L54" s="240"/>
      <c r="M54" s="240"/>
      <c r="N54" s="240"/>
    </row>
    <row r="55" spans="1:14" s="236" customFormat="1" ht="15" customHeight="1" x14ac:dyDescent="0.3">
      <c r="A55" s="236" t="s">
        <v>330</v>
      </c>
      <c r="B55" s="238">
        <f t="shared" si="1"/>
        <v>10000</v>
      </c>
      <c r="C55" s="286"/>
      <c r="D55" s="239"/>
      <c r="E55" s="240"/>
      <c r="F55" s="240">
        <v>5000</v>
      </c>
      <c r="G55" s="240">
        <v>5000</v>
      </c>
      <c r="H55" s="242" t="s">
        <v>48</v>
      </c>
      <c r="I55" s="240"/>
      <c r="J55" s="240"/>
      <c r="K55" s="242"/>
      <c r="L55" s="240"/>
      <c r="M55" s="240"/>
      <c r="N55" s="240"/>
    </row>
    <row r="56" spans="1:14" s="236" customFormat="1" ht="15" customHeight="1" x14ac:dyDescent="0.3">
      <c r="A56" s="236" t="s">
        <v>41</v>
      </c>
      <c r="B56" s="238">
        <f t="shared" si="1"/>
        <v>0</v>
      </c>
      <c r="C56" s="286"/>
      <c r="D56" s="239"/>
      <c r="E56" s="240"/>
      <c r="F56" s="240"/>
      <c r="G56" s="240"/>
      <c r="H56" s="242"/>
      <c r="I56" s="240"/>
      <c r="J56" s="240"/>
      <c r="K56" s="242"/>
      <c r="L56" s="240"/>
      <c r="M56" s="240"/>
      <c r="N56" s="240"/>
    </row>
    <row r="57" spans="1:14" s="236" customFormat="1" ht="15" customHeight="1" x14ac:dyDescent="0.3">
      <c r="A57" s="236" t="s">
        <v>206</v>
      </c>
      <c r="B57" s="238">
        <f t="shared" si="1"/>
        <v>0</v>
      </c>
      <c r="C57" s="286"/>
      <c r="D57" s="239"/>
      <c r="E57" s="240"/>
      <c r="F57" s="240"/>
      <c r="G57" s="240"/>
      <c r="H57" s="242"/>
      <c r="I57" s="240"/>
      <c r="J57" s="240"/>
      <c r="K57" s="242"/>
      <c r="L57" s="240"/>
      <c r="M57" s="240"/>
      <c r="N57" s="240"/>
    </row>
    <row r="58" spans="1:14" s="245" customFormat="1" ht="15" customHeight="1" thickBot="1" x14ac:dyDescent="0.35">
      <c r="A58" s="245" t="s">
        <v>1</v>
      </c>
      <c r="B58" s="246">
        <f t="shared" si="1"/>
        <v>0</v>
      </c>
      <c r="C58" s="287"/>
      <c r="D58" s="247"/>
      <c r="E58" s="248"/>
      <c r="F58" s="248"/>
      <c r="G58" s="248"/>
      <c r="H58" s="249"/>
      <c r="I58" s="248"/>
      <c r="J58" s="248"/>
      <c r="K58" s="249"/>
      <c r="L58" s="248"/>
      <c r="M58" s="248"/>
      <c r="N58" s="248"/>
    </row>
    <row r="59" spans="1:14" s="250" customFormat="1" ht="20.399999999999999" customHeight="1" thickTop="1" thickBot="1" x14ac:dyDescent="0.35">
      <c r="A59" s="250" t="s">
        <v>198</v>
      </c>
      <c r="B59" s="251">
        <f t="shared" si="1"/>
        <v>282500</v>
      </c>
      <c r="C59" s="288"/>
      <c r="D59" s="252">
        <f t="shared" ref="D59:N59" si="3">SUM(D43:D58)</f>
        <v>240500</v>
      </c>
      <c r="E59" s="253">
        <f t="shared" si="3"/>
        <v>500</v>
      </c>
      <c r="F59" s="253">
        <f t="shared" si="3"/>
        <v>5500</v>
      </c>
      <c r="G59" s="253">
        <f t="shared" si="3"/>
        <v>5500</v>
      </c>
      <c r="H59" s="254">
        <f t="shared" si="3"/>
        <v>30500</v>
      </c>
      <c r="I59" s="253">
        <f t="shared" si="3"/>
        <v>0</v>
      </c>
      <c r="J59" s="253">
        <f t="shared" si="3"/>
        <v>0</v>
      </c>
      <c r="K59" s="254">
        <f t="shared" si="3"/>
        <v>0</v>
      </c>
      <c r="L59" s="253">
        <f t="shared" si="3"/>
        <v>0</v>
      </c>
      <c r="M59" s="253">
        <f t="shared" si="3"/>
        <v>0</v>
      </c>
      <c r="N59" s="253">
        <f t="shared" si="3"/>
        <v>0</v>
      </c>
    </row>
    <row r="60" spans="1:14" s="18" customFormat="1" ht="18.600000000000001" thickBot="1" x14ac:dyDescent="0.4">
      <c r="A60" s="452" t="s">
        <v>180</v>
      </c>
      <c r="B60" s="452"/>
      <c r="C60" s="452"/>
      <c r="D60" s="452"/>
      <c r="E60" s="452"/>
      <c r="F60" s="452"/>
      <c r="G60" s="452"/>
      <c r="H60" s="452"/>
      <c r="I60" s="452"/>
      <c r="J60" s="452"/>
      <c r="K60" s="452"/>
      <c r="L60" s="74"/>
      <c r="M60" s="75"/>
      <c r="N60" s="74"/>
    </row>
    <row r="61" spans="1:14" s="93" customFormat="1" x14ac:dyDescent="0.3">
      <c r="A61" s="95"/>
      <c r="B61" s="93" t="s">
        <v>80</v>
      </c>
      <c r="C61" s="284" t="s">
        <v>81</v>
      </c>
      <c r="D61" s="21"/>
      <c r="E61" s="21"/>
      <c r="F61" s="21"/>
      <c r="L61" s="96"/>
      <c r="M61" s="72"/>
      <c r="N61" s="96"/>
    </row>
    <row r="62" spans="1:14" s="11" customFormat="1" ht="15" thickBot="1" x14ac:dyDescent="0.35">
      <c r="A62" s="11" t="s">
        <v>179</v>
      </c>
      <c r="B62" s="12">
        <f>SUM(D62:K62)</f>
        <v>0</v>
      </c>
      <c r="C62" s="289">
        <f>B62*12</f>
        <v>0</v>
      </c>
      <c r="D62" s="16"/>
      <c r="E62" s="16"/>
      <c r="F62" s="16"/>
      <c r="G62" s="13"/>
      <c r="H62" s="13"/>
      <c r="I62" s="13"/>
      <c r="J62" s="13"/>
      <c r="K62" s="13"/>
      <c r="L62" s="76"/>
      <c r="M62" s="77">
        <v>300</v>
      </c>
      <c r="N62" s="76"/>
    </row>
    <row r="63" spans="1:14" s="11" customFormat="1" ht="15.6" thickTop="1" thickBot="1" x14ac:dyDescent="0.35">
      <c r="A63" s="11" t="s">
        <v>210</v>
      </c>
      <c r="B63" s="12">
        <f>SUM(D63:K63)</f>
        <v>0</v>
      </c>
      <c r="C63" s="289">
        <f>B63*12</f>
        <v>0</v>
      </c>
      <c r="D63" s="16"/>
      <c r="E63" s="16"/>
      <c r="F63" s="16"/>
      <c r="G63" s="13"/>
      <c r="H63" s="13"/>
      <c r="I63" s="13"/>
      <c r="J63" s="13"/>
      <c r="K63" s="13"/>
      <c r="L63" s="76"/>
      <c r="M63" s="77">
        <v>300</v>
      </c>
      <c r="N63" s="76"/>
    </row>
    <row r="64" spans="1:14" s="9" customFormat="1" ht="15" thickTop="1" x14ac:dyDescent="0.3">
      <c r="A64" s="9" t="s">
        <v>328</v>
      </c>
      <c r="B64" s="80">
        <f t="shared" ref="B64:K64" si="4">SUM(B63:B63)</f>
        <v>0</v>
      </c>
      <c r="C64" s="290">
        <f t="shared" si="4"/>
        <v>0</v>
      </c>
      <c r="D64" s="10">
        <f t="shared" si="4"/>
        <v>0</v>
      </c>
      <c r="E64" s="10">
        <f t="shared" si="4"/>
        <v>0</v>
      </c>
      <c r="F64" s="10">
        <f t="shared" si="4"/>
        <v>0</v>
      </c>
      <c r="G64" s="10">
        <f t="shared" si="4"/>
        <v>0</v>
      </c>
      <c r="H64" s="10">
        <f t="shared" si="4"/>
        <v>0</v>
      </c>
      <c r="I64" s="10">
        <f t="shared" si="4"/>
        <v>0</v>
      </c>
      <c r="J64" s="10">
        <f t="shared" si="4"/>
        <v>0</v>
      </c>
      <c r="K64" s="10">
        <f t="shared" si="4"/>
        <v>0</v>
      </c>
    </row>
    <row r="65" spans="1:15" s="18" customFormat="1" ht="18" x14ac:dyDescent="0.35">
      <c r="A65" s="446" t="s">
        <v>148</v>
      </c>
      <c r="B65" s="446"/>
      <c r="C65" s="446"/>
      <c r="D65" s="446"/>
      <c r="E65" s="446"/>
      <c r="F65" s="446"/>
      <c r="G65" s="446"/>
      <c r="H65" s="446"/>
      <c r="I65" s="446"/>
      <c r="J65" s="446"/>
      <c r="K65" s="19"/>
    </row>
    <row r="66" spans="1:15" x14ac:dyDescent="0.3">
      <c r="A66" s="78" t="s">
        <v>83</v>
      </c>
      <c r="B66" s="78"/>
      <c r="C66" s="85"/>
      <c r="D66" s="81"/>
      <c r="E66" s="82"/>
      <c r="F66" s="83"/>
      <c r="G66" s="83"/>
      <c r="H66" s="84"/>
      <c r="I66" s="84"/>
      <c r="J66" s="84"/>
      <c r="K66" s="84"/>
    </row>
    <row r="68" spans="1:15" x14ac:dyDescent="0.3">
      <c r="A68" t="s">
        <v>193</v>
      </c>
    </row>
    <row r="69" spans="1:15" x14ac:dyDescent="0.3">
      <c r="A69" t="s">
        <v>192</v>
      </c>
    </row>
    <row r="70" spans="1:15" x14ac:dyDescent="0.3">
      <c r="A70" t="s">
        <v>187</v>
      </c>
    </row>
    <row r="71" spans="1:15" hidden="1" x14ac:dyDescent="0.3">
      <c r="B71">
        <v>2015</v>
      </c>
      <c r="C71" s="3">
        <v>2016</v>
      </c>
      <c r="D71">
        <v>2017</v>
      </c>
      <c r="E71">
        <v>2018</v>
      </c>
      <c r="F71">
        <v>2019</v>
      </c>
      <c r="G71">
        <v>2020</v>
      </c>
      <c r="H71">
        <v>2021</v>
      </c>
      <c r="I71">
        <v>2022</v>
      </c>
      <c r="J71">
        <v>2023</v>
      </c>
      <c r="K71">
        <v>2024</v>
      </c>
      <c r="L71">
        <v>2025</v>
      </c>
      <c r="M71">
        <v>2026</v>
      </c>
      <c r="N71">
        <v>2027</v>
      </c>
      <c r="O71" t="s">
        <v>147</v>
      </c>
    </row>
    <row r="72" spans="1:15" s="5" customFormat="1" x14ac:dyDescent="0.3">
      <c r="A72" s="153" t="s">
        <v>190</v>
      </c>
      <c r="B72" s="5">
        <v>1500</v>
      </c>
      <c r="C72" s="2">
        <f>B72 +(B72*0.03)</f>
        <v>1545</v>
      </c>
      <c r="D72" s="5">
        <f t="shared" ref="D72:N72" si="5">C72 +(C72*0.03)</f>
        <v>1591.35</v>
      </c>
      <c r="E72" s="5">
        <f t="shared" si="5"/>
        <v>1639.0904999999998</v>
      </c>
      <c r="F72" s="5">
        <f t="shared" si="5"/>
        <v>1688.2632149999997</v>
      </c>
      <c r="G72" s="5">
        <f t="shared" si="5"/>
        <v>1738.9111114499997</v>
      </c>
      <c r="H72" s="5">
        <f t="shared" si="5"/>
        <v>1791.0784447934998</v>
      </c>
      <c r="I72" s="5">
        <f t="shared" si="5"/>
        <v>1844.8107981373048</v>
      </c>
      <c r="J72" s="5">
        <f t="shared" si="5"/>
        <v>1900.155122081424</v>
      </c>
      <c r="K72" s="5">
        <f t="shared" si="5"/>
        <v>1957.1597757438667</v>
      </c>
      <c r="L72" s="5">
        <f t="shared" si="5"/>
        <v>2015.8745690161827</v>
      </c>
      <c r="M72" s="5">
        <f t="shared" si="5"/>
        <v>2076.3508060866684</v>
      </c>
      <c r="N72" s="5">
        <f t="shared" si="5"/>
        <v>2138.6413302692686</v>
      </c>
      <c r="O72" s="5">
        <f>AVERAGE(C72:N72)</f>
        <v>1827.2238060481843</v>
      </c>
    </row>
    <row r="73" spans="1:15" x14ac:dyDescent="0.3">
      <c r="A73" t="s">
        <v>189</v>
      </c>
    </row>
  </sheetData>
  <mergeCells count="8">
    <mergeCell ref="L40:N40"/>
    <mergeCell ref="A41:A42"/>
    <mergeCell ref="A60:K60"/>
    <mergeCell ref="A65:J65"/>
    <mergeCell ref="D41:D42"/>
    <mergeCell ref="A1:J1"/>
    <mergeCell ref="A2:J2"/>
    <mergeCell ref="A40:K4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workbookViewId="0">
      <selection activeCell="A48" sqref="A48"/>
    </sheetView>
    <sheetView workbookViewId="1">
      <selection activeCell="A7" sqref="A7"/>
    </sheetView>
  </sheetViews>
  <sheetFormatPr defaultRowHeight="14.4" x14ac:dyDescent="0.3"/>
  <cols>
    <col min="1" max="1" width="61.33203125" customWidth="1"/>
    <col min="2" max="2" width="16.33203125" customWidth="1"/>
    <col min="3" max="3" width="16.33203125" style="3" customWidth="1"/>
    <col min="4" max="4" width="17.88671875" style="5" customWidth="1"/>
    <col min="5" max="5" width="12" style="221" customWidth="1"/>
    <col min="6" max="6" width="14.109375" style="2" customWidth="1"/>
    <col min="7" max="7" width="14.33203125" style="2" customWidth="1"/>
    <col min="8" max="8" width="17.6640625" style="1" customWidth="1"/>
    <col min="9" max="10" width="15.33203125" style="1" customWidth="1"/>
    <col min="11" max="11" width="15.6640625" style="1" customWidth="1"/>
    <col min="12" max="15" width="15.33203125" customWidth="1"/>
    <col min="16" max="17" width="17.6640625" customWidth="1"/>
    <col min="18" max="18" width="15.44140625" customWidth="1"/>
  </cols>
  <sheetData>
    <row r="1" spans="1:11" s="18" customFormat="1" ht="18.600000000000001" thickBot="1" x14ac:dyDescent="0.4">
      <c r="A1" s="446" t="s">
        <v>332</v>
      </c>
      <c r="B1" s="446"/>
      <c r="C1" s="446"/>
      <c r="D1" s="446"/>
      <c r="E1" s="446"/>
      <c r="F1" s="446"/>
      <c r="G1" s="446"/>
      <c r="H1" s="446"/>
      <c r="I1" s="446"/>
      <c r="J1" s="446"/>
      <c r="K1" s="19"/>
    </row>
    <row r="2" spans="1:11" s="87" customFormat="1" ht="18" x14ac:dyDescent="0.35">
      <c r="A2" s="449" t="s">
        <v>82</v>
      </c>
      <c r="B2" s="450"/>
      <c r="C2" s="450"/>
      <c r="D2" s="450"/>
      <c r="E2" s="450"/>
      <c r="F2" s="450"/>
      <c r="G2" s="450"/>
      <c r="H2" s="450"/>
      <c r="I2" s="450"/>
      <c r="J2" s="450"/>
      <c r="K2" s="86"/>
    </row>
    <row r="3" spans="1:11" s="92" customFormat="1" ht="29.4" thickBot="1" x14ac:dyDescent="0.35">
      <c r="A3" s="220" t="s">
        <v>3</v>
      </c>
      <c r="B3" s="89" t="s">
        <v>58</v>
      </c>
      <c r="C3" s="89" t="s">
        <v>60</v>
      </c>
      <c r="D3" s="91" t="s">
        <v>57</v>
      </c>
      <c r="E3" s="92" t="s">
        <v>34</v>
      </c>
      <c r="F3" s="90" t="s">
        <v>53</v>
      </c>
      <c r="G3" s="90" t="s">
        <v>56</v>
      </c>
      <c r="H3" s="90" t="s">
        <v>306</v>
      </c>
      <c r="I3" s="92" t="s">
        <v>55</v>
      </c>
      <c r="J3" s="90" t="s">
        <v>54</v>
      </c>
    </row>
    <row r="4" spans="1:11" x14ac:dyDescent="0.3">
      <c r="A4" t="s">
        <v>36</v>
      </c>
      <c r="B4" s="2">
        <f>D4*E4</f>
        <v>1200000</v>
      </c>
      <c r="C4" s="2"/>
      <c r="D4" s="5">
        <v>600000</v>
      </c>
      <c r="E4" s="221">
        <v>2</v>
      </c>
      <c r="F4" s="8">
        <v>8</v>
      </c>
      <c r="G4" s="8">
        <v>584</v>
      </c>
      <c r="H4" s="8">
        <v>260</v>
      </c>
      <c r="I4" s="8">
        <f>H4*G4</f>
        <v>151840</v>
      </c>
      <c r="K4" s="1" t="s">
        <v>281</v>
      </c>
    </row>
    <row r="5" spans="1:11" x14ac:dyDescent="0.3">
      <c r="A5" t="s">
        <v>44</v>
      </c>
      <c r="B5" s="235">
        <f>B43</f>
        <v>80000</v>
      </c>
      <c r="C5" s="2"/>
      <c r="I5" s="49"/>
      <c r="K5" s="1" t="s">
        <v>281</v>
      </c>
    </row>
    <row r="6" spans="1:11" x14ac:dyDescent="0.3">
      <c r="A6" t="s">
        <v>45</v>
      </c>
      <c r="B6" s="235">
        <f t="shared" ref="B6:B9" si="0">B44</f>
        <v>40000</v>
      </c>
      <c r="C6" s="2"/>
      <c r="I6" s="49"/>
      <c r="K6" s="1" t="s">
        <v>281</v>
      </c>
    </row>
    <row r="7" spans="1:11" x14ac:dyDescent="0.3">
      <c r="A7" t="s">
        <v>46</v>
      </c>
      <c r="B7" s="235">
        <f t="shared" si="0"/>
        <v>0</v>
      </c>
      <c r="C7" s="2"/>
      <c r="I7" s="49"/>
      <c r="K7" s="1" t="s">
        <v>437</v>
      </c>
    </row>
    <row r="8" spans="1:11" x14ac:dyDescent="0.3">
      <c r="A8" t="s">
        <v>47</v>
      </c>
      <c r="B8" s="235">
        <f t="shared" si="0"/>
        <v>120000</v>
      </c>
      <c r="C8" s="2"/>
      <c r="I8" s="49"/>
      <c r="K8" s="1" t="s">
        <v>437</v>
      </c>
    </row>
    <row r="9" spans="1:11" x14ac:dyDescent="0.3">
      <c r="A9" t="s">
        <v>216</v>
      </c>
      <c r="B9" s="235">
        <f t="shared" si="0"/>
        <v>300000</v>
      </c>
      <c r="C9" s="2"/>
      <c r="I9" s="49"/>
      <c r="K9" s="1" t="s">
        <v>437</v>
      </c>
    </row>
    <row r="10" spans="1:11" x14ac:dyDescent="0.3">
      <c r="A10" t="s">
        <v>191</v>
      </c>
      <c r="B10" s="2">
        <f>D10*E10</f>
        <v>220000</v>
      </c>
      <c r="C10" s="2"/>
      <c r="D10" s="5">
        <v>110000</v>
      </c>
      <c r="E10" s="221">
        <v>2</v>
      </c>
      <c r="F10" s="8"/>
      <c r="G10" s="8"/>
      <c r="H10" s="8"/>
      <c r="I10" s="50"/>
      <c r="K10" s="1" t="s">
        <v>282</v>
      </c>
    </row>
    <row r="11" spans="1:11" x14ac:dyDescent="0.3">
      <c r="A11" t="s">
        <v>412</v>
      </c>
      <c r="B11" s="2">
        <f>I11*D11</f>
        <v>62400</v>
      </c>
      <c r="C11" s="2"/>
      <c r="D11" s="5">
        <v>0.6</v>
      </c>
      <c r="E11" s="221">
        <v>50</v>
      </c>
      <c r="F11" s="8">
        <v>8</v>
      </c>
      <c r="G11" s="8">
        <f>F11*E11</f>
        <v>400</v>
      </c>
      <c r="H11" s="8">
        <v>260</v>
      </c>
      <c r="I11" s="8">
        <f>H11*G11</f>
        <v>104000</v>
      </c>
      <c r="J11" s="1">
        <f>D11*G11</f>
        <v>240</v>
      </c>
      <c r="K11" s="1" t="s">
        <v>284</v>
      </c>
    </row>
    <row r="12" spans="1:11" x14ac:dyDescent="0.3">
      <c r="A12" t="s">
        <v>280</v>
      </c>
      <c r="B12" s="2">
        <f>'E Bus Fleet'!L13</f>
        <v>89300</v>
      </c>
      <c r="C12" s="2"/>
      <c r="E12" s="221">
        <v>2</v>
      </c>
      <c r="F12" s="8"/>
      <c r="G12" s="8"/>
      <c r="H12" s="8"/>
      <c r="I12" s="50"/>
      <c r="K12" s="1" t="s">
        <v>304</v>
      </c>
    </row>
    <row r="13" spans="1:11" x14ac:dyDescent="0.3">
      <c r="A13" t="s">
        <v>38</v>
      </c>
      <c r="B13" s="2">
        <f>C63</f>
        <v>0</v>
      </c>
      <c r="C13" s="2"/>
      <c r="F13" s="8"/>
      <c r="G13" s="8"/>
      <c r="H13" s="8"/>
      <c r="I13" s="50"/>
      <c r="K13" s="1" t="s">
        <v>285</v>
      </c>
    </row>
    <row r="14" spans="1:11" x14ac:dyDescent="0.3">
      <c r="A14" t="s">
        <v>209</v>
      </c>
      <c r="B14" s="2">
        <f>C62</f>
        <v>0</v>
      </c>
      <c r="C14" s="2"/>
      <c r="F14" s="8"/>
      <c r="G14" s="8"/>
      <c r="H14" s="8"/>
      <c r="I14" s="50"/>
      <c r="K14" s="1" t="s">
        <v>286</v>
      </c>
    </row>
    <row r="15" spans="1:11" x14ac:dyDescent="0.3">
      <c r="A15" t="s">
        <v>188</v>
      </c>
      <c r="B15" s="2"/>
      <c r="C15" s="2"/>
      <c r="F15" s="8"/>
      <c r="G15" s="8"/>
      <c r="H15" s="8"/>
      <c r="I15" s="50"/>
      <c r="K15" s="1" t="s">
        <v>287</v>
      </c>
    </row>
    <row r="16" spans="1:11" s="159" customFormat="1" x14ac:dyDescent="0.3">
      <c r="A16" s="157" t="s">
        <v>207</v>
      </c>
      <c r="B16" s="160">
        <v>30000</v>
      </c>
      <c r="C16" s="160"/>
      <c r="D16" s="162"/>
      <c r="E16" s="163"/>
      <c r="F16" s="164"/>
      <c r="G16" s="164"/>
      <c r="H16" s="164"/>
      <c r="I16" s="165"/>
      <c r="J16" s="161"/>
      <c r="K16" s="161" t="s">
        <v>410</v>
      </c>
    </row>
    <row r="17" spans="1:11" s="159" customFormat="1" x14ac:dyDescent="0.3">
      <c r="A17" s="157" t="s">
        <v>205</v>
      </c>
      <c r="B17" s="160">
        <v>25000</v>
      </c>
      <c r="C17" s="160">
        <v>0</v>
      </c>
      <c r="D17" s="162"/>
      <c r="E17" s="163"/>
      <c r="F17" s="164"/>
      <c r="G17" s="164"/>
      <c r="H17" s="164"/>
      <c r="I17" s="165"/>
      <c r="J17" s="161"/>
      <c r="K17" s="161" t="s">
        <v>409</v>
      </c>
    </row>
    <row r="18" spans="1:11" s="159" customFormat="1" x14ac:dyDescent="0.3">
      <c r="A18" s="157" t="s">
        <v>407</v>
      </c>
      <c r="B18" s="160">
        <v>41600</v>
      </c>
      <c r="C18" s="161"/>
      <c r="D18" s="162"/>
      <c r="E18" s="163"/>
      <c r="F18" s="164"/>
      <c r="G18" s="164"/>
      <c r="H18" s="164"/>
      <c r="I18" s="165"/>
      <c r="J18" s="161"/>
      <c r="K18" t="s">
        <v>411</v>
      </c>
    </row>
    <row r="19" spans="1:11" s="159" customFormat="1" x14ac:dyDescent="0.3">
      <c r="A19" t="s">
        <v>199</v>
      </c>
      <c r="B19" s="160">
        <v>0</v>
      </c>
      <c r="C19" s="160">
        <v>0</v>
      </c>
      <c r="D19" s="162"/>
      <c r="E19" s="163"/>
      <c r="F19" s="164"/>
      <c r="G19" s="164"/>
      <c r="H19" s="164"/>
      <c r="I19" s="165"/>
      <c r="J19" s="161"/>
      <c r="K19" s="161"/>
    </row>
    <row r="20" spans="1:11" s="159" customFormat="1" x14ac:dyDescent="0.3">
      <c r="A20" t="s">
        <v>40</v>
      </c>
      <c r="B20" s="160">
        <v>0</v>
      </c>
      <c r="C20" s="160">
        <v>0</v>
      </c>
      <c r="D20" s="162"/>
      <c r="E20" s="163"/>
      <c r="F20" s="164"/>
      <c r="G20" s="164"/>
      <c r="H20" s="164"/>
      <c r="I20" s="165"/>
      <c r="J20" s="161"/>
      <c r="K20" s="161"/>
    </row>
    <row r="21" spans="1:11" s="159" customFormat="1" x14ac:dyDescent="0.3">
      <c r="A21" t="s">
        <v>38</v>
      </c>
      <c r="B21" s="160">
        <v>0</v>
      </c>
      <c r="C21" s="160">
        <v>0</v>
      </c>
      <c r="D21" s="162"/>
      <c r="E21" s="163"/>
      <c r="F21" s="164"/>
      <c r="G21" s="164"/>
      <c r="H21" s="164"/>
      <c r="I21" s="165"/>
      <c r="J21" s="161"/>
      <c r="K21" s="161"/>
    </row>
    <row r="22" spans="1:11" s="159" customFormat="1" x14ac:dyDescent="0.3">
      <c r="A22" t="s">
        <v>2</v>
      </c>
      <c r="B22" s="160">
        <v>0</v>
      </c>
      <c r="C22" s="160">
        <v>0</v>
      </c>
      <c r="D22" s="162"/>
      <c r="E22" s="163"/>
      <c r="F22" s="164"/>
      <c r="G22" s="164"/>
      <c r="H22" s="164"/>
      <c r="I22" s="165"/>
      <c r="J22" s="161"/>
      <c r="K22" s="161"/>
    </row>
    <row r="23" spans="1:11" s="159" customFormat="1" x14ac:dyDescent="0.3">
      <c r="A23" t="s">
        <v>0</v>
      </c>
      <c r="B23" s="160">
        <v>0</v>
      </c>
      <c r="C23" s="160">
        <v>0</v>
      </c>
      <c r="D23" s="162"/>
      <c r="E23" s="163"/>
      <c r="F23" s="164"/>
      <c r="G23" s="164"/>
      <c r="H23" s="164"/>
      <c r="I23" s="165"/>
      <c r="J23" s="161"/>
      <c r="K23" s="161"/>
    </row>
    <row r="24" spans="1:11" s="159" customFormat="1" x14ac:dyDescent="0.3">
      <c r="A24" t="s">
        <v>42</v>
      </c>
      <c r="B24" s="160">
        <v>0</v>
      </c>
      <c r="C24" s="160">
        <v>0</v>
      </c>
      <c r="D24" s="162"/>
      <c r="E24" s="163"/>
      <c r="F24" s="164"/>
      <c r="G24" s="164"/>
      <c r="H24" s="164"/>
      <c r="I24" s="165"/>
      <c r="J24" s="161"/>
      <c r="K24" s="161"/>
    </row>
    <row r="25" spans="1:11" s="159" customFormat="1" x14ac:dyDescent="0.3">
      <c r="A25" t="s">
        <v>43</v>
      </c>
      <c r="B25" s="160">
        <v>0</v>
      </c>
      <c r="C25" s="160">
        <v>0</v>
      </c>
      <c r="D25" s="162"/>
      <c r="E25" s="163"/>
      <c r="F25" s="164"/>
      <c r="G25" s="164"/>
      <c r="H25" s="164"/>
      <c r="I25" s="165"/>
      <c r="J25" s="161"/>
      <c r="K25" s="161"/>
    </row>
    <row r="26" spans="1:11" s="159" customFormat="1" x14ac:dyDescent="0.3">
      <c r="A26" t="s">
        <v>41</v>
      </c>
      <c r="B26" s="160">
        <v>0</v>
      </c>
      <c r="C26" s="160">
        <v>0</v>
      </c>
      <c r="D26" s="162"/>
      <c r="E26" s="163"/>
      <c r="F26" s="164"/>
      <c r="G26" s="164"/>
      <c r="H26" s="164"/>
      <c r="I26" s="165"/>
      <c r="J26" s="161"/>
      <c r="K26" s="161"/>
    </row>
    <row r="27" spans="1:11" s="159" customFormat="1" x14ac:dyDescent="0.3">
      <c r="A27" t="s">
        <v>206</v>
      </c>
      <c r="B27" s="160">
        <v>0</v>
      </c>
      <c r="C27" s="160">
        <v>0</v>
      </c>
      <c r="D27" s="162"/>
      <c r="E27" s="163"/>
      <c r="F27" s="164"/>
      <c r="G27" s="164"/>
      <c r="H27" s="164"/>
      <c r="I27" s="165"/>
      <c r="J27" s="161"/>
      <c r="K27" s="161"/>
    </row>
    <row r="28" spans="1:11" s="159" customFormat="1" x14ac:dyDescent="0.3">
      <c r="A28" s="159" t="s">
        <v>1</v>
      </c>
      <c r="B28" s="160">
        <v>0</v>
      </c>
      <c r="C28" s="160">
        <v>0</v>
      </c>
      <c r="D28" s="162"/>
      <c r="E28" s="163"/>
      <c r="F28" s="164"/>
      <c r="G28" s="164"/>
      <c r="H28" s="164"/>
      <c r="I28" s="165"/>
      <c r="J28" s="161"/>
      <c r="K28" s="161"/>
    </row>
    <row r="29" spans="1:11" s="159" customFormat="1" x14ac:dyDescent="0.3">
      <c r="A29" s="157" t="s">
        <v>354</v>
      </c>
      <c r="B29" s="160">
        <f>'Implementation Costs'!C7</f>
        <v>36450</v>
      </c>
      <c r="C29" s="160"/>
      <c r="D29" s="162"/>
      <c r="E29" s="163"/>
      <c r="F29" s="164"/>
      <c r="G29" s="164"/>
      <c r="H29" s="164"/>
      <c r="I29" s="165"/>
      <c r="J29" s="161"/>
      <c r="K29" s="161"/>
    </row>
    <row r="30" spans="1:11" s="159" customFormat="1" x14ac:dyDescent="0.3">
      <c r="A30" s="28" t="s">
        <v>355</v>
      </c>
      <c r="B30" s="160">
        <f>'Implementation Costs'!C8</f>
        <v>9720</v>
      </c>
      <c r="C30" s="160"/>
      <c r="D30" s="162"/>
      <c r="E30" s="163"/>
      <c r="F30" s="164"/>
      <c r="G30" s="164"/>
      <c r="H30" s="164"/>
      <c r="I30" s="165"/>
      <c r="J30" s="161"/>
      <c r="K30" s="161"/>
    </row>
    <row r="31" spans="1:11" s="159" customFormat="1" x14ac:dyDescent="0.3">
      <c r="A31" s="28" t="s">
        <v>356</v>
      </c>
      <c r="B31" s="160">
        <f>'Implementation Costs'!C9</f>
        <v>5400</v>
      </c>
      <c r="C31" s="160"/>
      <c r="D31" s="162"/>
      <c r="E31" s="163"/>
      <c r="F31" s="164"/>
      <c r="G31" s="164"/>
      <c r="H31" s="164"/>
      <c r="I31" s="165"/>
      <c r="J31" s="161"/>
      <c r="K31" s="161"/>
    </row>
    <row r="32" spans="1:11" s="159" customFormat="1" x14ac:dyDescent="0.3">
      <c r="A32" s="28" t="s">
        <v>358</v>
      </c>
      <c r="B32" s="160">
        <f>'Implementation Costs'!C10</f>
        <v>51840</v>
      </c>
      <c r="C32" s="160"/>
      <c r="D32" s="162"/>
      <c r="E32" s="163"/>
      <c r="F32" s="164"/>
      <c r="G32" s="164"/>
      <c r="H32" s="164"/>
      <c r="I32" s="165"/>
      <c r="J32" s="161"/>
      <c r="K32" s="161"/>
    </row>
    <row r="33" spans="1:14" s="159" customFormat="1" x14ac:dyDescent="0.3">
      <c r="A33" s="157" t="s">
        <v>208</v>
      </c>
      <c r="B33" s="160">
        <f>'Implementation Costs'!C11</f>
        <v>336420.00000000006</v>
      </c>
      <c r="C33" s="160">
        <v>0</v>
      </c>
      <c r="D33" s="162"/>
      <c r="E33" s="163"/>
      <c r="F33" s="164"/>
      <c r="G33" s="164"/>
      <c r="H33" s="164"/>
      <c r="I33" s="165"/>
      <c r="J33" s="161"/>
      <c r="K33" s="161"/>
    </row>
    <row r="34" spans="1:14" s="159" customFormat="1" x14ac:dyDescent="0.3">
      <c r="A34" s="157" t="s">
        <v>206</v>
      </c>
      <c r="B34" s="160"/>
      <c r="C34" s="160">
        <v>10000</v>
      </c>
      <c r="D34" s="162"/>
      <c r="E34" s="163"/>
      <c r="F34" s="164"/>
      <c r="G34" s="164"/>
      <c r="H34" s="164"/>
      <c r="I34" s="165"/>
      <c r="J34" s="161"/>
      <c r="K34" s="161" t="s">
        <v>410</v>
      </c>
    </row>
    <row r="35" spans="1:14" x14ac:dyDescent="0.3">
      <c r="A35" t="s">
        <v>212</v>
      </c>
      <c r="B35" s="2"/>
      <c r="C35" s="2">
        <v>2500</v>
      </c>
      <c r="F35" s="8"/>
      <c r="G35" s="8"/>
      <c r="H35" s="8"/>
      <c r="I35" s="50"/>
      <c r="K35" s="1" t="s">
        <v>430</v>
      </c>
    </row>
    <row r="36" spans="1:14" s="159" customFormat="1" x14ac:dyDescent="0.3">
      <c r="A36" s="159" t="s">
        <v>213</v>
      </c>
      <c r="B36" s="160"/>
      <c r="C36" s="160">
        <f>I36*D36</f>
        <v>42640</v>
      </c>
      <c r="D36" s="162">
        <v>0.41</v>
      </c>
      <c r="E36" s="163">
        <v>50</v>
      </c>
      <c r="F36" s="164">
        <v>8</v>
      </c>
      <c r="G36" s="164">
        <f>F36*E36</f>
        <v>400</v>
      </c>
      <c r="H36" s="164">
        <v>260</v>
      </c>
      <c r="I36" s="164">
        <f>H36*G36</f>
        <v>104000</v>
      </c>
      <c r="J36" s="161">
        <f>D36*G36</f>
        <v>164</v>
      </c>
      <c r="K36" s="161" t="s">
        <v>288</v>
      </c>
    </row>
    <row r="37" spans="1:14" s="11" customFormat="1" ht="15" thickBot="1" x14ac:dyDescent="0.35">
      <c r="A37" s="11" t="s">
        <v>183</v>
      </c>
      <c r="B37" s="15">
        <v>0</v>
      </c>
      <c r="C37" s="293">
        <f>'Operating Cost Calcs'!F17</f>
        <v>187521.0993951998</v>
      </c>
      <c r="D37" s="13"/>
      <c r="E37" s="14"/>
      <c r="F37" s="15"/>
      <c r="G37" s="15"/>
      <c r="H37" s="16"/>
      <c r="I37" s="292"/>
      <c r="J37" s="16"/>
      <c r="K37" s="16" t="s">
        <v>283</v>
      </c>
    </row>
    <row r="38" spans="1:14" s="234" customFormat="1" ht="16.2" thickTop="1" x14ac:dyDescent="0.3">
      <c r="A38" s="227" t="s">
        <v>197</v>
      </c>
      <c r="B38" s="228">
        <f>SUM(B4:B37)</f>
        <v>2648130</v>
      </c>
      <c r="C38" s="228">
        <f>SUM(C4:C37)</f>
        <v>242661.0993951998</v>
      </c>
      <c r="D38" s="230"/>
      <c r="E38" s="231"/>
      <c r="F38" s="232"/>
      <c r="G38" s="232"/>
      <c r="H38" s="233"/>
      <c r="I38" s="233"/>
      <c r="J38" s="233"/>
      <c r="K38" s="233"/>
    </row>
    <row r="39" spans="1:14" s="63" customFormat="1" x14ac:dyDescent="0.3">
      <c r="A39" s="97"/>
      <c r="B39" s="98"/>
      <c r="C39" s="98"/>
      <c r="D39" s="100"/>
      <c r="E39" s="71"/>
      <c r="F39" s="101"/>
      <c r="G39" s="101"/>
      <c r="H39" s="102"/>
      <c r="I39" s="102"/>
      <c r="J39" s="102"/>
      <c r="K39" s="102"/>
    </row>
    <row r="40" spans="1:14" s="70" customFormat="1" ht="18.600000000000001" thickBot="1" x14ac:dyDescent="0.4">
      <c r="A40" s="446" t="s">
        <v>181</v>
      </c>
      <c r="B40" s="446"/>
      <c r="C40" s="446"/>
      <c r="D40" s="446"/>
      <c r="E40" s="446"/>
      <c r="F40" s="446"/>
      <c r="G40" s="446"/>
      <c r="H40" s="446"/>
      <c r="I40" s="446"/>
      <c r="J40" s="446"/>
      <c r="K40" s="446"/>
      <c r="L40" s="451"/>
      <c r="M40" s="451"/>
      <c r="N40" s="451"/>
    </row>
    <row r="41" spans="1:14" s="93" customFormat="1" x14ac:dyDescent="0.3">
      <c r="A41" s="447" t="s">
        <v>39</v>
      </c>
      <c r="C41" s="284"/>
      <c r="D41" s="20" t="s">
        <v>214</v>
      </c>
      <c r="E41" s="21" t="s">
        <v>215</v>
      </c>
      <c r="F41" s="22" t="s">
        <v>151</v>
      </c>
      <c r="G41" s="21"/>
      <c r="H41" s="21"/>
      <c r="I41" s="21"/>
      <c r="J41" s="21"/>
      <c r="K41" s="22"/>
      <c r="L41" s="72"/>
      <c r="M41" s="72"/>
      <c r="N41" s="72"/>
    </row>
    <row r="42" spans="1:14" s="94" customFormat="1" ht="15" thickBot="1" x14ac:dyDescent="0.35">
      <c r="A42" s="448"/>
      <c r="C42" s="285"/>
      <c r="D42" s="23"/>
      <c r="E42" s="24"/>
      <c r="F42" s="25"/>
      <c r="G42" s="24"/>
      <c r="H42" s="24"/>
      <c r="I42" s="24"/>
      <c r="J42" s="24"/>
      <c r="K42" s="25"/>
      <c r="L42" s="73"/>
      <c r="M42" s="73"/>
      <c r="N42" s="73"/>
    </row>
    <row r="43" spans="1:14" s="236" customFormat="1" ht="15" customHeight="1" x14ac:dyDescent="0.3">
      <c r="A43" s="236" t="s">
        <v>44</v>
      </c>
      <c r="B43" s="237">
        <f>SUM(D43:K43)</f>
        <v>80000</v>
      </c>
      <c r="C43" s="286"/>
      <c r="D43" s="239">
        <v>80000</v>
      </c>
      <c r="E43" s="240"/>
      <c r="F43" s="240"/>
      <c r="G43" s="240"/>
      <c r="H43" s="240"/>
      <c r="I43" s="240"/>
      <c r="J43" s="240"/>
      <c r="K43" s="241"/>
      <c r="L43" s="240"/>
      <c r="M43" s="240"/>
      <c r="N43" s="240"/>
    </row>
    <row r="44" spans="1:14" s="236" customFormat="1" ht="15" customHeight="1" x14ac:dyDescent="0.3">
      <c r="A44" s="236" t="s">
        <v>45</v>
      </c>
      <c r="B44" s="238">
        <f t="shared" ref="B44:B59" si="1">SUM(D44:K44)</f>
        <v>40000</v>
      </c>
      <c r="C44" s="286"/>
      <c r="D44" s="239"/>
      <c r="E44" s="240"/>
      <c r="F44" s="240">
        <v>40000</v>
      </c>
      <c r="G44" s="240"/>
      <c r="H44" s="240"/>
      <c r="I44" s="240"/>
      <c r="J44" s="240"/>
      <c r="K44" s="242"/>
      <c r="L44" s="240"/>
      <c r="M44" s="240"/>
      <c r="N44" s="240"/>
    </row>
    <row r="45" spans="1:14" s="236" customFormat="1" ht="15" customHeight="1" x14ac:dyDescent="0.3">
      <c r="A45" s="236" t="s">
        <v>46</v>
      </c>
      <c r="B45" s="238">
        <f t="shared" si="1"/>
        <v>0</v>
      </c>
      <c r="C45" s="286"/>
      <c r="D45" s="239"/>
      <c r="E45" s="240"/>
      <c r="F45" s="240"/>
      <c r="G45" s="240"/>
      <c r="H45" s="240"/>
      <c r="I45" s="240"/>
      <c r="J45" s="240"/>
      <c r="K45" s="242"/>
      <c r="L45" s="240"/>
      <c r="M45" s="240"/>
      <c r="N45" s="240"/>
    </row>
    <row r="46" spans="1:14" s="236" customFormat="1" ht="15" customHeight="1" x14ac:dyDescent="0.3">
      <c r="A46" s="236" t="s">
        <v>47</v>
      </c>
      <c r="B46" s="238">
        <f t="shared" si="1"/>
        <v>120000</v>
      </c>
      <c r="C46" s="286"/>
      <c r="D46" s="239">
        <v>100000</v>
      </c>
      <c r="E46" s="240"/>
      <c r="F46" s="240">
        <v>20000</v>
      </c>
      <c r="G46" s="240"/>
      <c r="H46" s="240"/>
      <c r="I46" s="240"/>
      <c r="J46" s="240"/>
      <c r="K46" s="244"/>
      <c r="L46" s="240"/>
      <c r="M46" s="240"/>
      <c r="N46" s="240"/>
    </row>
    <row r="47" spans="1:14" s="236" customFormat="1" ht="15" customHeight="1" x14ac:dyDescent="0.3">
      <c r="A47" s="236" t="s">
        <v>216</v>
      </c>
      <c r="B47" s="238">
        <f>SUM(D47:K47)</f>
        <v>300000</v>
      </c>
      <c r="C47" s="286"/>
      <c r="D47" s="239">
        <v>290000</v>
      </c>
      <c r="E47" s="240"/>
      <c r="F47" s="240">
        <v>10000</v>
      </c>
      <c r="G47" s="240"/>
      <c r="H47" s="240"/>
      <c r="I47" s="240"/>
      <c r="J47" s="240"/>
      <c r="K47" s="242"/>
      <c r="L47" s="240"/>
      <c r="M47" s="240"/>
      <c r="N47" s="240"/>
    </row>
    <row r="48" spans="1:14" s="236" customFormat="1" ht="15" customHeight="1" x14ac:dyDescent="0.3">
      <c r="A48" s="236" t="s">
        <v>199</v>
      </c>
      <c r="B48" s="238">
        <f t="shared" ref="B48" si="2">SUM(D48:K48)</f>
        <v>0</v>
      </c>
      <c r="C48" s="286"/>
      <c r="D48" s="239"/>
      <c r="E48" s="240"/>
      <c r="F48" s="240"/>
      <c r="G48" s="240"/>
      <c r="H48" s="240"/>
      <c r="I48" s="240"/>
      <c r="J48" s="240"/>
      <c r="K48" s="244"/>
      <c r="L48" s="240"/>
      <c r="M48" s="240"/>
      <c r="N48" s="240"/>
    </row>
    <row r="49" spans="1:14" s="236" customFormat="1" ht="15" customHeight="1" x14ac:dyDescent="0.3">
      <c r="A49" s="236" t="s">
        <v>40</v>
      </c>
      <c r="B49" s="238">
        <f t="shared" si="1"/>
        <v>0</v>
      </c>
      <c r="C49" s="286"/>
      <c r="D49" s="239"/>
      <c r="E49" s="240"/>
      <c r="F49" s="240"/>
      <c r="G49" s="240"/>
      <c r="H49" s="240"/>
      <c r="I49" s="240"/>
      <c r="J49" s="240"/>
      <c r="K49" s="242"/>
      <c r="L49" s="240"/>
      <c r="M49" s="240"/>
      <c r="N49" s="240"/>
    </row>
    <row r="50" spans="1:14" s="236" customFormat="1" ht="15" customHeight="1" x14ac:dyDescent="0.3">
      <c r="A50" s="236" t="s">
        <v>38</v>
      </c>
      <c r="B50" s="238">
        <f t="shared" si="1"/>
        <v>0</v>
      </c>
      <c r="C50" s="286"/>
      <c r="D50" s="239"/>
      <c r="E50" s="240"/>
      <c r="F50" s="240"/>
      <c r="G50" s="240"/>
      <c r="H50" s="240"/>
      <c r="I50" s="240"/>
      <c r="J50" s="240"/>
      <c r="K50" s="242"/>
      <c r="L50" s="240"/>
      <c r="M50" s="240"/>
      <c r="N50" s="240"/>
    </row>
    <row r="51" spans="1:14" s="236" customFormat="1" ht="15" customHeight="1" x14ac:dyDescent="0.3">
      <c r="A51" s="236" t="s">
        <v>37</v>
      </c>
      <c r="B51" s="238">
        <f t="shared" si="1"/>
        <v>0</v>
      </c>
      <c r="C51" s="286"/>
      <c r="D51" s="239"/>
      <c r="E51" s="240"/>
      <c r="F51" s="240"/>
      <c r="G51" s="240"/>
      <c r="H51" s="240"/>
      <c r="I51" s="240"/>
      <c r="J51" s="240"/>
      <c r="K51" s="242"/>
      <c r="L51" s="240"/>
      <c r="M51" s="240"/>
      <c r="N51" s="240"/>
    </row>
    <row r="52" spans="1:14" s="236" customFormat="1" ht="15" customHeight="1" x14ac:dyDescent="0.3">
      <c r="A52" s="236" t="s">
        <v>2</v>
      </c>
      <c r="B52" s="238">
        <f t="shared" si="1"/>
        <v>0</v>
      </c>
      <c r="C52" s="286"/>
      <c r="D52" s="239"/>
      <c r="E52" s="240"/>
      <c r="F52" s="240"/>
      <c r="G52" s="240"/>
      <c r="H52" s="240"/>
      <c r="I52" s="240"/>
      <c r="J52" s="240"/>
      <c r="K52" s="242"/>
      <c r="L52" s="240"/>
      <c r="M52" s="240"/>
      <c r="N52" s="240"/>
    </row>
    <row r="53" spans="1:14" s="236" customFormat="1" ht="15" customHeight="1" x14ac:dyDescent="0.3">
      <c r="A53" s="236" t="s">
        <v>0</v>
      </c>
      <c r="B53" s="238">
        <f t="shared" si="1"/>
        <v>0</v>
      </c>
      <c r="C53" s="286"/>
      <c r="D53" s="239"/>
      <c r="E53" s="240"/>
      <c r="F53" s="240"/>
      <c r="G53" s="240"/>
      <c r="H53" s="240"/>
      <c r="I53" s="240"/>
      <c r="J53" s="240"/>
      <c r="K53" s="242"/>
      <c r="L53" s="240"/>
      <c r="M53" s="240"/>
      <c r="N53" s="240"/>
    </row>
    <row r="54" spans="1:14" s="236" customFormat="1" ht="15" customHeight="1" x14ac:dyDescent="0.3">
      <c r="A54" s="236" t="s">
        <v>42</v>
      </c>
      <c r="B54" s="238">
        <f t="shared" si="1"/>
        <v>0</v>
      </c>
      <c r="C54" s="286"/>
      <c r="D54" s="239"/>
      <c r="E54" s="240"/>
      <c r="F54" s="240"/>
      <c r="G54" s="240"/>
      <c r="H54" s="240"/>
      <c r="I54" s="240"/>
      <c r="J54" s="240"/>
      <c r="K54" s="242"/>
      <c r="L54" s="240"/>
      <c r="M54" s="240"/>
      <c r="N54" s="240"/>
    </row>
    <row r="55" spans="1:14" s="236" customFormat="1" ht="15" customHeight="1" x14ac:dyDescent="0.3">
      <c r="A55" s="236" t="s">
        <v>43</v>
      </c>
      <c r="B55" s="238">
        <f t="shared" si="1"/>
        <v>0</v>
      </c>
      <c r="C55" s="286"/>
      <c r="D55" s="239"/>
      <c r="E55" s="240"/>
      <c r="F55" s="240"/>
      <c r="G55" s="240"/>
      <c r="H55" s="240"/>
      <c r="I55" s="240"/>
      <c r="J55" s="240"/>
      <c r="K55" s="242"/>
      <c r="L55" s="240"/>
      <c r="M55" s="240"/>
      <c r="N55" s="240"/>
    </row>
    <row r="56" spans="1:14" s="236" customFormat="1" ht="15" customHeight="1" x14ac:dyDescent="0.3">
      <c r="A56" s="236" t="s">
        <v>41</v>
      </c>
      <c r="B56" s="238">
        <f t="shared" si="1"/>
        <v>0</v>
      </c>
      <c r="C56" s="286"/>
      <c r="D56" s="239"/>
      <c r="E56" s="240"/>
      <c r="F56" s="240"/>
      <c r="G56" s="240"/>
      <c r="H56" s="240"/>
      <c r="I56" s="240"/>
      <c r="J56" s="240"/>
      <c r="K56" s="242"/>
      <c r="L56" s="240"/>
      <c r="M56" s="240"/>
      <c r="N56" s="240"/>
    </row>
    <row r="57" spans="1:14" s="236" customFormat="1" ht="15" customHeight="1" x14ac:dyDescent="0.3">
      <c r="A57" s="236" t="s">
        <v>206</v>
      </c>
      <c r="B57" s="238">
        <f t="shared" si="1"/>
        <v>0</v>
      </c>
      <c r="C57" s="286"/>
      <c r="D57" s="239"/>
      <c r="E57" s="240"/>
      <c r="F57" s="240"/>
      <c r="G57" s="240"/>
      <c r="H57" s="240"/>
      <c r="I57" s="240"/>
      <c r="J57" s="240"/>
      <c r="K57" s="242"/>
      <c r="L57" s="240"/>
      <c r="M57" s="240"/>
      <c r="N57" s="240"/>
    </row>
    <row r="58" spans="1:14" s="245" customFormat="1" ht="15" customHeight="1" thickBot="1" x14ac:dyDescent="0.35">
      <c r="A58" s="245" t="s">
        <v>1</v>
      </c>
      <c r="B58" s="246">
        <f t="shared" si="1"/>
        <v>0</v>
      </c>
      <c r="C58" s="287"/>
      <c r="D58" s="247"/>
      <c r="E58" s="248"/>
      <c r="F58" s="248"/>
      <c r="G58" s="248"/>
      <c r="H58" s="248"/>
      <c r="I58" s="248"/>
      <c r="J58" s="248"/>
      <c r="K58" s="249"/>
      <c r="L58" s="248"/>
      <c r="M58" s="248"/>
      <c r="N58" s="248"/>
    </row>
    <row r="59" spans="1:14" s="250" customFormat="1" ht="20.399999999999999" customHeight="1" thickTop="1" thickBot="1" x14ac:dyDescent="0.35">
      <c r="A59" s="250" t="s">
        <v>198</v>
      </c>
      <c r="B59" s="251">
        <f t="shared" si="1"/>
        <v>540000</v>
      </c>
      <c r="C59" s="288"/>
      <c r="D59" s="252">
        <f t="shared" ref="D59:N59" si="3">SUM(D43:D58)</f>
        <v>470000</v>
      </c>
      <c r="E59" s="253">
        <f t="shared" si="3"/>
        <v>0</v>
      </c>
      <c r="F59" s="253">
        <f t="shared" si="3"/>
        <v>70000</v>
      </c>
      <c r="G59" s="253">
        <f t="shared" si="3"/>
        <v>0</v>
      </c>
      <c r="H59" s="253">
        <f t="shared" si="3"/>
        <v>0</v>
      </c>
      <c r="I59" s="253">
        <f t="shared" si="3"/>
        <v>0</v>
      </c>
      <c r="J59" s="253">
        <f t="shared" si="3"/>
        <v>0</v>
      </c>
      <c r="K59" s="254">
        <f t="shared" si="3"/>
        <v>0</v>
      </c>
      <c r="L59" s="253">
        <f t="shared" si="3"/>
        <v>0</v>
      </c>
      <c r="M59" s="253">
        <f t="shared" si="3"/>
        <v>0</v>
      </c>
      <c r="N59" s="253">
        <f t="shared" si="3"/>
        <v>0</v>
      </c>
    </row>
    <row r="60" spans="1:14" s="18" customFormat="1" ht="18.600000000000001" thickBot="1" x14ac:dyDescent="0.4">
      <c r="A60" s="452" t="s">
        <v>180</v>
      </c>
      <c r="B60" s="452"/>
      <c r="C60" s="452"/>
      <c r="D60" s="452"/>
      <c r="E60" s="452"/>
      <c r="F60" s="452"/>
      <c r="G60" s="452"/>
      <c r="H60" s="452"/>
      <c r="I60" s="452"/>
      <c r="J60" s="452"/>
      <c r="K60" s="452"/>
      <c r="L60" s="74"/>
      <c r="M60" s="75"/>
      <c r="N60" s="74"/>
    </row>
    <row r="61" spans="1:14" s="93" customFormat="1" x14ac:dyDescent="0.3">
      <c r="A61" s="95"/>
      <c r="B61" s="93" t="s">
        <v>80</v>
      </c>
      <c r="C61" s="284" t="s">
        <v>81</v>
      </c>
      <c r="D61" s="21"/>
      <c r="E61" s="21"/>
      <c r="F61" s="21"/>
      <c r="L61" s="96"/>
      <c r="M61" s="72"/>
      <c r="N61" s="96"/>
    </row>
    <row r="62" spans="1:14" s="11" customFormat="1" ht="15" thickBot="1" x14ac:dyDescent="0.35">
      <c r="A62" s="11" t="s">
        <v>179</v>
      </c>
      <c r="B62" s="12">
        <f>SUM(D62:K62)</f>
        <v>0</v>
      </c>
      <c r="C62" s="289">
        <f>B62*12</f>
        <v>0</v>
      </c>
      <c r="D62" s="16"/>
      <c r="E62" s="16"/>
      <c r="F62" s="16"/>
      <c r="G62" s="13"/>
      <c r="H62" s="13"/>
      <c r="I62" s="13"/>
      <c r="J62" s="13"/>
      <c r="K62" s="13"/>
      <c r="L62" s="76"/>
      <c r="M62" s="77">
        <v>300</v>
      </c>
      <c r="N62" s="76"/>
    </row>
    <row r="63" spans="1:14" s="11" customFormat="1" ht="15.6" thickTop="1" thickBot="1" x14ac:dyDescent="0.35">
      <c r="A63" s="11" t="s">
        <v>210</v>
      </c>
      <c r="B63" s="12">
        <f>SUM(D63:K63)</f>
        <v>0</v>
      </c>
      <c r="C63" s="289">
        <f>B63*12</f>
        <v>0</v>
      </c>
      <c r="D63" s="16"/>
      <c r="E63" s="16"/>
      <c r="F63" s="16"/>
      <c r="G63" s="13"/>
      <c r="H63" s="13"/>
      <c r="I63" s="13"/>
      <c r="J63" s="13"/>
      <c r="K63" s="13"/>
      <c r="L63" s="76"/>
      <c r="M63" s="77">
        <v>300</v>
      </c>
      <c r="N63" s="76"/>
    </row>
    <row r="64" spans="1:14" s="9" customFormat="1" ht="15" thickTop="1" x14ac:dyDescent="0.3">
      <c r="A64" s="9" t="s">
        <v>328</v>
      </c>
      <c r="B64" s="80">
        <f t="shared" ref="B64:K64" si="4">SUM(B63:B63)</f>
        <v>0</v>
      </c>
      <c r="C64" s="290">
        <f t="shared" si="4"/>
        <v>0</v>
      </c>
      <c r="D64" s="10">
        <f t="shared" si="4"/>
        <v>0</v>
      </c>
      <c r="E64" s="10">
        <f t="shared" si="4"/>
        <v>0</v>
      </c>
      <c r="F64" s="10">
        <f t="shared" si="4"/>
        <v>0</v>
      </c>
      <c r="G64" s="10">
        <f t="shared" si="4"/>
        <v>0</v>
      </c>
      <c r="H64" s="10">
        <f t="shared" si="4"/>
        <v>0</v>
      </c>
      <c r="I64" s="10">
        <f t="shared" si="4"/>
        <v>0</v>
      </c>
      <c r="J64" s="10">
        <f t="shared" si="4"/>
        <v>0</v>
      </c>
      <c r="K64" s="10">
        <f t="shared" si="4"/>
        <v>0</v>
      </c>
    </row>
    <row r="65" spans="1:15" s="18" customFormat="1" ht="18" x14ac:dyDescent="0.35">
      <c r="A65" s="446" t="s">
        <v>148</v>
      </c>
      <c r="B65" s="446"/>
      <c r="C65" s="446"/>
      <c r="D65" s="446"/>
      <c r="E65" s="446"/>
      <c r="F65" s="446"/>
      <c r="G65" s="446"/>
      <c r="H65" s="446"/>
      <c r="I65" s="446"/>
      <c r="J65" s="446"/>
      <c r="K65" s="19"/>
    </row>
    <row r="66" spans="1:15" x14ac:dyDescent="0.3">
      <c r="A66" s="78" t="s">
        <v>83</v>
      </c>
      <c r="B66" s="78"/>
      <c r="C66" s="85"/>
      <c r="D66" s="81"/>
      <c r="E66" s="82"/>
      <c r="F66" s="83"/>
      <c r="G66" s="83"/>
      <c r="H66" s="84"/>
      <c r="I66" s="84"/>
      <c r="J66" s="84"/>
      <c r="K66" s="84"/>
    </row>
    <row r="68" spans="1:15" x14ac:dyDescent="0.3">
      <c r="A68" t="s">
        <v>193</v>
      </c>
    </row>
    <row r="69" spans="1:15" x14ac:dyDescent="0.3">
      <c r="A69" t="s">
        <v>192</v>
      </c>
    </row>
    <row r="70" spans="1:15" x14ac:dyDescent="0.3">
      <c r="A70" t="s">
        <v>187</v>
      </c>
    </row>
    <row r="71" spans="1:15" hidden="1" x14ac:dyDescent="0.3">
      <c r="B71">
        <v>2015</v>
      </c>
      <c r="C71" s="3">
        <v>2016</v>
      </c>
      <c r="D71">
        <v>2017</v>
      </c>
      <c r="E71">
        <v>2018</v>
      </c>
      <c r="F71">
        <v>2019</v>
      </c>
      <c r="G71">
        <v>2020</v>
      </c>
      <c r="H71">
        <v>2021</v>
      </c>
      <c r="I71">
        <v>2022</v>
      </c>
      <c r="J71">
        <v>2023</v>
      </c>
      <c r="K71">
        <v>2024</v>
      </c>
      <c r="L71">
        <v>2025</v>
      </c>
      <c r="M71">
        <v>2026</v>
      </c>
      <c r="N71">
        <v>2027</v>
      </c>
      <c r="O71" t="s">
        <v>147</v>
      </c>
    </row>
    <row r="72" spans="1:15" s="5" customFormat="1" x14ac:dyDescent="0.3">
      <c r="A72" s="153" t="s">
        <v>190</v>
      </c>
      <c r="B72" s="5">
        <v>1500</v>
      </c>
      <c r="C72" s="2">
        <f>B72 +(B72*0.03)</f>
        <v>1545</v>
      </c>
      <c r="D72" s="5">
        <f t="shared" ref="D72:N72" si="5">C72 +(C72*0.03)</f>
        <v>1591.35</v>
      </c>
      <c r="E72" s="5">
        <f t="shared" si="5"/>
        <v>1639.0904999999998</v>
      </c>
      <c r="F72" s="5">
        <f t="shared" si="5"/>
        <v>1688.2632149999997</v>
      </c>
      <c r="G72" s="5">
        <f t="shared" si="5"/>
        <v>1738.9111114499997</v>
      </c>
      <c r="H72" s="5">
        <f t="shared" si="5"/>
        <v>1791.0784447934998</v>
      </c>
      <c r="I72" s="5">
        <f t="shared" si="5"/>
        <v>1844.8107981373048</v>
      </c>
      <c r="J72" s="5">
        <f t="shared" si="5"/>
        <v>1900.155122081424</v>
      </c>
      <c r="K72" s="5">
        <f t="shared" si="5"/>
        <v>1957.1597757438667</v>
      </c>
      <c r="L72" s="5">
        <f t="shared" si="5"/>
        <v>2015.8745690161827</v>
      </c>
      <c r="M72" s="5">
        <f t="shared" si="5"/>
        <v>2076.3508060866684</v>
      </c>
      <c r="N72" s="5">
        <f t="shared" si="5"/>
        <v>2138.6413302692686</v>
      </c>
      <c r="O72" s="5">
        <f>AVERAGE(C72:N72)</f>
        <v>1827.2238060481843</v>
      </c>
    </row>
    <row r="73" spans="1:15" x14ac:dyDescent="0.3">
      <c r="A73" t="s">
        <v>189</v>
      </c>
    </row>
  </sheetData>
  <mergeCells count="7">
    <mergeCell ref="A65:J65"/>
    <mergeCell ref="A1:J1"/>
    <mergeCell ref="A2:J2"/>
    <mergeCell ref="A40:K40"/>
    <mergeCell ref="L40:N40"/>
    <mergeCell ref="A41:A42"/>
    <mergeCell ref="A60:K6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workbookViewId="0">
      <selection activeCell="D56" sqref="D56"/>
    </sheetView>
    <sheetView workbookViewId="1">
      <selection sqref="A1:I1"/>
    </sheetView>
  </sheetViews>
  <sheetFormatPr defaultRowHeight="14.4" x14ac:dyDescent="0.3"/>
  <cols>
    <col min="1" max="1" width="74" customWidth="1"/>
    <col min="2" max="5" width="20.109375" customWidth="1"/>
    <col min="6" max="6" width="19.5546875" customWidth="1"/>
    <col min="7" max="7" width="15" style="18" hidden="1" customWidth="1"/>
    <col min="8" max="8" width="80.5546875" customWidth="1"/>
    <col min="9" max="9" width="11.109375" bestFit="1" customWidth="1"/>
  </cols>
  <sheetData>
    <row r="1" spans="1:14" s="18" customFormat="1" ht="18" x14ac:dyDescent="0.35">
      <c r="A1" s="446" t="s">
        <v>144</v>
      </c>
      <c r="B1" s="446"/>
      <c r="C1" s="446"/>
      <c r="D1" s="446"/>
      <c r="E1" s="446"/>
      <c r="F1" s="446"/>
      <c r="G1" s="446"/>
      <c r="H1" s="446"/>
      <c r="I1" s="446"/>
      <c r="J1" s="19"/>
    </row>
    <row r="2" spans="1:14" s="67" customFormat="1" ht="18" x14ac:dyDescent="0.35">
      <c r="A2" s="66" t="s">
        <v>141</v>
      </c>
      <c r="B2" s="64" t="s">
        <v>61</v>
      </c>
      <c r="C2" s="65" t="s">
        <v>339</v>
      </c>
      <c r="D2" s="65" t="s">
        <v>62</v>
      </c>
      <c r="E2" s="64" t="s">
        <v>64</v>
      </c>
      <c r="F2" s="64" t="s">
        <v>65</v>
      </c>
      <c r="G2" s="257" t="s">
        <v>63</v>
      </c>
      <c r="H2" s="65"/>
      <c r="I2" s="65"/>
      <c r="J2" s="65"/>
      <c r="K2" s="65"/>
      <c r="L2" s="65"/>
      <c r="M2" s="65"/>
      <c r="N2" s="65"/>
    </row>
    <row r="3" spans="1:14" ht="18" hidden="1" customHeight="1" x14ac:dyDescent="0.3">
      <c r="A3" s="26" t="s">
        <v>117</v>
      </c>
      <c r="B3" s="32" t="s">
        <v>85</v>
      </c>
      <c r="C3" s="30" t="s">
        <v>85</v>
      </c>
      <c r="D3" s="30" t="s">
        <v>85</v>
      </c>
      <c r="E3" s="27" t="s">
        <v>85</v>
      </c>
      <c r="F3" s="27" t="s">
        <v>85</v>
      </c>
      <c r="G3" s="258" t="s">
        <v>84</v>
      </c>
      <c r="H3" s="30"/>
      <c r="I3" s="30"/>
      <c r="J3" s="30"/>
      <c r="K3" s="30"/>
      <c r="L3" s="30"/>
      <c r="M3" s="30"/>
      <c r="N3" s="30"/>
    </row>
    <row r="4" spans="1:14" ht="18" customHeight="1" x14ac:dyDescent="0.3">
      <c r="A4" s="26" t="s">
        <v>91</v>
      </c>
      <c r="B4" s="145">
        <v>166</v>
      </c>
      <c r="C4" s="145">
        <v>75</v>
      </c>
      <c r="D4" s="144">
        <v>100</v>
      </c>
      <c r="E4" s="141">
        <v>73</v>
      </c>
      <c r="F4" s="141">
        <v>50</v>
      </c>
      <c r="G4" s="259">
        <v>42</v>
      </c>
      <c r="H4" s="30"/>
      <c r="I4" s="30"/>
      <c r="J4" s="30"/>
      <c r="K4" s="30"/>
      <c r="L4" s="30"/>
      <c r="M4" s="30"/>
      <c r="N4" s="30"/>
    </row>
    <row r="5" spans="1:14" ht="18" customHeight="1" x14ac:dyDescent="0.3">
      <c r="A5" s="26" t="s">
        <v>89</v>
      </c>
      <c r="B5" s="145">
        <v>4</v>
      </c>
      <c r="C5" s="145">
        <v>4</v>
      </c>
      <c r="D5" s="144">
        <v>3</v>
      </c>
      <c r="E5" s="141">
        <v>4</v>
      </c>
      <c r="F5" s="141">
        <v>4</v>
      </c>
      <c r="G5" s="259">
        <v>2</v>
      </c>
      <c r="H5" s="30"/>
      <c r="I5" s="30"/>
      <c r="J5" s="30"/>
      <c r="K5" s="30"/>
      <c r="L5" s="30"/>
      <c r="M5" s="30"/>
      <c r="N5" s="30"/>
    </row>
    <row r="6" spans="1:14" ht="18" customHeight="1" x14ac:dyDescent="0.3">
      <c r="A6" s="26" t="s">
        <v>184</v>
      </c>
      <c r="B6" s="354">
        <f>'I-5 Backbone'!I11</f>
        <v>484720</v>
      </c>
      <c r="C6" s="356">
        <v>145600</v>
      </c>
      <c r="D6" s="355">
        <f>'Siskiyou Feeder'!I4</f>
        <v>156000</v>
      </c>
      <c r="E6" s="141">
        <f>'North Valley Feeder'!I4</f>
        <v>151840</v>
      </c>
      <c r="F6" s="141">
        <f>'Lake Feeder'!I4</f>
        <v>151840</v>
      </c>
      <c r="G6" s="259"/>
      <c r="H6" s="30"/>
      <c r="I6" s="30"/>
      <c r="K6" s="30"/>
      <c r="L6" s="30"/>
      <c r="M6" s="30"/>
      <c r="N6" s="30"/>
    </row>
    <row r="7" spans="1:14" ht="18" customHeight="1" x14ac:dyDescent="0.3">
      <c r="A7" s="343" t="s">
        <v>395</v>
      </c>
      <c r="B7" s="353">
        <f>'RABA Costs'!$D$17</f>
        <v>77.063571071412341</v>
      </c>
      <c r="C7" s="353">
        <f>'RABA Costs'!$D$17</f>
        <v>77.063571071412341</v>
      </c>
      <c r="D7" s="353">
        <f>'RABA Costs'!$D$17</f>
        <v>77.063571071412341</v>
      </c>
      <c r="E7" s="353">
        <f>'RABA Costs'!$D$17</f>
        <v>77.063571071412341</v>
      </c>
      <c r="F7" s="353">
        <f>'RABA Costs'!$D$17</f>
        <v>77.063571071412341</v>
      </c>
      <c r="G7" s="259"/>
      <c r="H7" s="30"/>
      <c r="I7" s="30"/>
      <c r="J7" s="30"/>
      <c r="K7" s="30"/>
      <c r="L7" s="30"/>
      <c r="M7" s="30"/>
      <c r="N7" s="30"/>
    </row>
    <row r="8" spans="1:14" s="62" customFormat="1" ht="18" hidden="1" customHeight="1" x14ac:dyDescent="0.3">
      <c r="A8" s="61" t="s">
        <v>86</v>
      </c>
      <c r="B8" s="147"/>
      <c r="C8" s="147"/>
      <c r="D8" s="142">
        <v>85.89</v>
      </c>
      <c r="E8" s="146">
        <v>109.34</v>
      </c>
      <c r="F8" s="142">
        <v>62.79</v>
      </c>
      <c r="G8" s="260">
        <v>107.19</v>
      </c>
    </row>
    <row r="9" spans="1:14" s="1" customFormat="1" ht="18" hidden="1" customHeight="1" x14ac:dyDescent="0.3">
      <c r="A9" s="136" t="s">
        <v>93</v>
      </c>
      <c r="B9" s="222">
        <v>4.12</v>
      </c>
      <c r="C9" s="222">
        <v>4.12</v>
      </c>
      <c r="D9" s="147">
        <v>3.34</v>
      </c>
      <c r="E9" s="147">
        <v>4.12</v>
      </c>
      <c r="F9" s="143">
        <f>F10/F6</f>
        <v>17.095785036880926</v>
      </c>
      <c r="G9" s="261"/>
      <c r="H9" s="52"/>
      <c r="I9" s="52"/>
      <c r="J9" s="52"/>
      <c r="K9" s="52"/>
      <c r="L9" s="52"/>
      <c r="M9" s="52"/>
      <c r="N9" s="52"/>
    </row>
    <row r="10" spans="1:14" s="1" customFormat="1" ht="18" hidden="1" customHeight="1" x14ac:dyDescent="0.3">
      <c r="A10" s="137" t="s">
        <v>185</v>
      </c>
      <c r="B10" s="6"/>
      <c r="C10" s="6"/>
      <c r="D10" s="6"/>
      <c r="E10" s="6"/>
      <c r="F10" s="143">
        <v>2595824</v>
      </c>
      <c r="G10" s="262"/>
    </row>
    <row r="11" spans="1:14" ht="18" customHeight="1" x14ac:dyDescent="0.3">
      <c r="A11" s="26" t="s">
        <v>396</v>
      </c>
      <c r="B11" s="148">
        <v>8760</v>
      </c>
      <c r="C11" s="148">
        <v>4380</v>
      </c>
      <c r="D11" s="148">
        <v>4927.5</v>
      </c>
      <c r="E11" s="144">
        <v>4380</v>
      </c>
      <c r="F11" s="141">
        <v>2433.33</v>
      </c>
      <c r="G11" s="259"/>
      <c r="H11" s="30"/>
      <c r="I11" s="30"/>
      <c r="J11" s="30"/>
      <c r="K11" s="30"/>
      <c r="L11" s="30"/>
      <c r="M11" s="30"/>
      <c r="N11" s="30"/>
    </row>
    <row r="12" spans="1:14" ht="18" hidden="1" customHeight="1" x14ac:dyDescent="0.3">
      <c r="A12" s="26" t="s">
        <v>94</v>
      </c>
      <c r="B12" s="148">
        <v>2.41684573703322E-2</v>
      </c>
      <c r="C12" s="148">
        <v>2.41684573703322E-2</v>
      </c>
      <c r="D12" s="144"/>
      <c r="E12" s="144">
        <v>0.15228628758986354</v>
      </c>
      <c r="F12" s="141"/>
      <c r="G12" s="259"/>
      <c r="H12" s="30"/>
      <c r="I12" s="30"/>
      <c r="J12" s="30"/>
      <c r="K12" s="30"/>
      <c r="L12" s="30"/>
      <c r="M12" s="30"/>
      <c r="N12" s="30"/>
    </row>
    <row r="13" spans="1:14" ht="18" hidden="1" customHeight="1" x14ac:dyDescent="0.3">
      <c r="A13" s="26" t="s">
        <v>95</v>
      </c>
      <c r="B13" s="148">
        <v>0.11278613439488359</v>
      </c>
      <c r="C13" s="148">
        <v>0.11278613439488359</v>
      </c>
      <c r="D13" s="144"/>
      <c r="E13" s="144">
        <v>0.14937167510486846</v>
      </c>
      <c r="F13" s="141">
        <f>'Lake Op Costs'!J6</f>
        <v>0.18382117349912341</v>
      </c>
      <c r="G13" s="259"/>
      <c r="H13" s="30"/>
      <c r="I13" s="30"/>
      <c r="J13" s="30"/>
      <c r="K13" s="30"/>
      <c r="L13" s="30"/>
      <c r="M13" s="30"/>
      <c r="N13" s="30"/>
    </row>
    <row r="14" spans="1:14" ht="18" hidden="1" customHeight="1" x14ac:dyDescent="0.3">
      <c r="A14" s="26" t="s">
        <v>319</v>
      </c>
      <c r="B14" s="148">
        <f>SUM(B12:B13)</f>
        <v>0.13695459176521579</v>
      </c>
      <c r="C14" s="148">
        <f>SUM(C12:C13)</f>
        <v>0.13695459176521579</v>
      </c>
      <c r="D14" s="144"/>
      <c r="E14" s="144">
        <f>SUM(E12:E13)</f>
        <v>0.301657962694732</v>
      </c>
      <c r="F14" s="141"/>
      <c r="G14" s="259"/>
      <c r="H14" s="30"/>
      <c r="I14" s="30"/>
      <c r="J14" s="30"/>
      <c r="K14" s="30"/>
      <c r="L14" s="30"/>
      <c r="M14" s="30"/>
      <c r="N14" s="30"/>
    </row>
    <row r="15" spans="1:14" s="139" customFormat="1" ht="18.600000000000001" hidden="1" customHeight="1" x14ac:dyDescent="0.3">
      <c r="A15" s="31" t="s">
        <v>333</v>
      </c>
      <c r="B15" s="149"/>
      <c r="C15" s="149">
        <f>C9*2*(C5*C4)*260</f>
        <v>642720</v>
      </c>
      <c r="D15" s="149">
        <f>D9*(D5*2)*(D4)*260</f>
        <v>521040</v>
      </c>
      <c r="E15" s="149">
        <f>B9*2*(E5*E4)*260</f>
        <v>625580.79999999993</v>
      </c>
      <c r="F15" s="149">
        <f>F9*(F5*2)*(F4)*260</f>
        <v>1777961.6438356163</v>
      </c>
      <c r="G15" s="261">
        <v>168830</v>
      </c>
      <c r="H15" s="138"/>
      <c r="I15" s="138"/>
      <c r="J15" s="138"/>
      <c r="K15" s="138"/>
      <c r="L15" s="138"/>
      <c r="M15" s="138"/>
      <c r="N15" s="138"/>
    </row>
    <row r="16" spans="1:14" ht="31.2" hidden="1" customHeight="1" x14ac:dyDescent="0.3">
      <c r="A16" s="47" t="s">
        <v>115</v>
      </c>
      <c r="B16" s="143">
        <f>B7*B11</f>
        <v>675076.88258557208</v>
      </c>
      <c r="C16" s="143">
        <f>C7*C11</f>
        <v>337538.44129278604</v>
      </c>
      <c r="D16" s="143">
        <f>D7*D11</f>
        <v>379730.74645438429</v>
      </c>
      <c r="E16" s="143">
        <f>E7*E11</f>
        <v>337538.44129278604</v>
      </c>
      <c r="F16" s="143">
        <f>F7*F11</f>
        <v>187521.0993951998</v>
      </c>
      <c r="G16" s="261">
        <f>G15*(1-$F$14)</f>
        <v>168830</v>
      </c>
      <c r="H16" s="27"/>
      <c r="I16" s="27"/>
      <c r="J16" s="27"/>
      <c r="K16" s="27"/>
      <c r="L16" s="30"/>
      <c r="M16" s="30"/>
      <c r="N16" s="30"/>
    </row>
    <row r="17" spans="1:15" s="56" customFormat="1" ht="20.399999999999999" customHeight="1" x14ac:dyDescent="0.3">
      <c r="A17" s="53" t="s">
        <v>142</v>
      </c>
      <c r="B17" s="150">
        <f>B7*B11</f>
        <v>675076.88258557208</v>
      </c>
      <c r="C17" s="150">
        <f t="shared" ref="C17:F17" si="0">C7*C11</f>
        <v>337538.44129278604</v>
      </c>
      <c r="D17" s="150">
        <f t="shared" si="0"/>
        <v>379730.74645438429</v>
      </c>
      <c r="E17" s="150">
        <f t="shared" si="0"/>
        <v>337538.44129278604</v>
      </c>
      <c r="F17" s="150">
        <f t="shared" si="0"/>
        <v>187521.0993951998</v>
      </c>
      <c r="G17" s="263" t="e">
        <f>#REF!</f>
        <v>#REF!</v>
      </c>
      <c r="H17" s="54" t="s">
        <v>397</v>
      </c>
      <c r="I17" s="54"/>
      <c r="J17" s="54"/>
      <c r="K17" s="54"/>
      <c r="L17" s="55"/>
      <c r="M17" s="55"/>
      <c r="N17" s="55"/>
    </row>
    <row r="18" spans="1:15" s="9" customFormat="1" ht="20.399999999999999" hidden="1" customHeight="1" x14ac:dyDescent="0.3">
      <c r="A18" s="151" t="s">
        <v>114</v>
      </c>
      <c r="B18" s="152">
        <f t="shared" ref="B18:G18" si="1">B15-B17</f>
        <v>-675076.88258557208</v>
      </c>
      <c r="C18" s="152">
        <f t="shared" si="1"/>
        <v>305181.55870721396</v>
      </c>
      <c r="D18" s="152">
        <f t="shared" si="1"/>
        <v>141309.25354561571</v>
      </c>
      <c r="E18" s="152">
        <f t="shared" si="1"/>
        <v>288042.35870721389</v>
      </c>
      <c r="F18" s="152">
        <f t="shared" si="1"/>
        <v>1590440.5444404166</v>
      </c>
      <c r="G18" s="264" t="e">
        <f t="shared" si="1"/>
        <v>#REF!</v>
      </c>
      <c r="H18" s="17"/>
      <c r="I18" s="17"/>
      <c r="J18" s="17"/>
      <c r="K18" s="17"/>
      <c r="L18" s="104"/>
      <c r="M18" s="104"/>
      <c r="N18" s="104"/>
    </row>
    <row r="19" spans="1:15" x14ac:dyDescent="0.3">
      <c r="A19" s="28" t="s">
        <v>186</v>
      </c>
      <c r="B19" s="27"/>
      <c r="C19" s="27"/>
      <c r="D19" s="27"/>
      <c r="E19" s="27"/>
      <c r="F19" s="27"/>
      <c r="G19" s="258"/>
      <c r="H19" s="27"/>
      <c r="I19" s="27"/>
      <c r="J19" s="27"/>
      <c r="K19" s="27"/>
      <c r="L19" s="30"/>
      <c r="M19" s="30"/>
      <c r="N19" s="30"/>
    </row>
    <row r="20" spans="1:15" ht="57.6" hidden="1" x14ac:dyDescent="0.3">
      <c r="A20" s="225" t="s">
        <v>318</v>
      </c>
      <c r="B20" s="32" t="s">
        <v>334</v>
      </c>
      <c r="C20" s="140" t="s">
        <v>315</v>
      </c>
      <c r="D20" s="27" t="s">
        <v>320</v>
      </c>
      <c r="E20" s="32" t="s">
        <v>334</v>
      </c>
      <c r="F20" s="27" t="s">
        <v>321</v>
      </c>
      <c r="G20" s="258"/>
      <c r="H20" s="27"/>
      <c r="I20" s="27"/>
      <c r="J20" s="27"/>
      <c r="K20" s="27"/>
      <c r="L20" s="30"/>
      <c r="M20" s="30"/>
      <c r="N20" s="30"/>
    </row>
    <row r="21" spans="1:15" s="139" customFormat="1" ht="55.8" hidden="1" customHeight="1" x14ac:dyDescent="0.3">
      <c r="A21" s="31" t="s">
        <v>317</v>
      </c>
      <c r="B21" s="140" t="s">
        <v>337</v>
      </c>
      <c r="D21" s="140" t="s">
        <v>324</v>
      </c>
      <c r="E21" s="140" t="s">
        <v>336</v>
      </c>
      <c r="F21" s="140" t="s">
        <v>323</v>
      </c>
      <c r="G21" s="258" t="s">
        <v>87</v>
      </c>
      <c r="H21" s="140"/>
      <c r="I21" s="140"/>
      <c r="J21" s="140"/>
      <c r="K21" s="140"/>
      <c r="L21" s="138"/>
      <c r="M21" s="138"/>
      <c r="N21" s="138"/>
    </row>
    <row r="22" spans="1:15" x14ac:dyDescent="0.3">
      <c r="A22" s="29" t="s">
        <v>88</v>
      </c>
      <c r="B22" s="27"/>
      <c r="C22" s="27"/>
      <c r="D22" s="27"/>
      <c r="E22" s="27"/>
      <c r="F22" s="27"/>
      <c r="G22" s="258"/>
      <c r="H22" s="27"/>
      <c r="I22" s="27"/>
      <c r="J22" s="27"/>
      <c r="K22" s="27"/>
      <c r="L22" s="30"/>
      <c r="M22" s="30"/>
      <c r="N22" s="30"/>
    </row>
    <row r="23" spans="1:15" x14ac:dyDescent="0.3">
      <c r="A23" t="s">
        <v>90</v>
      </c>
      <c r="B23" s="30"/>
      <c r="C23" s="30"/>
      <c r="I23" s="30"/>
      <c r="J23" s="30"/>
      <c r="K23" s="30"/>
      <c r="L23" s="30"/>
      <c r="M23" s="30"/>
      <c r="N23" s="30"/>
      <c r="O23" s="30"/>
    </row>
    <row r="24" spans="1:15" x14ac:dyDescent="0.3">
      <c r="A24" t="s">
        <v>92</v>
      </c>
      <c r="B24" s="30"/>
      <c r="C24" s="30"/>
      <c r="I24" s="30"/>
      <c r="J24" s="30"/>
      <c r="K24" s="30"/>
      <c r="L24" s="30"/>
      <c r="M24" s="30"/>
      <c r="N24" s="30"/>
      <c r="O24" s="30"/>
    </row>
    <row r="25" spans="1:15" x14ac:dyDescent="0.3">
      <c r="A25" t="s">
        <v>310</v>
      </c>
      <c r="B25" s="30"/>
      <c r="C25" s="30"/>
      <c r="E25">
        <v>5.88</v>
      </c>
      <c r="I25" s="30"/>
      <c r="J25" s="30"/>
      <c r="K25" s="30"/>
      <c r="L25" s="30"/>
      <c r="M25" s="30"/>
      <c r="N25" s="30"/>
      <c r="O25" s="30"/>
    </row>
    <row r="26" spans="1:15" x14ac:dyDescent="0.3">
      <c r="A26" t="s">
        <v>335</v>
      </c>
      <c r="B26" s="30"/>
      <c r="C26" s="30"/>
      <c r="E26">
        <v>3.34</v>
      </c>
      <c r="I26" s="30"/>
      <c r="J26" s="30"/>
      <c r="K26" s="30"/>
      <c r="L26" s="30"/>
      <c r="M26" s="30"/>
      <c r="N26" s="30"/>
      <c r="O26" s="30"/>
    </row>
    <row r="27" spans="1:15" x14ac:dyDescent="0.3">
      <c r="B27" s="30"/>
      <c r="C27" s="30"/>
      <c r="D27" s="30"/>
      <c r="E27" s="30">
        <v>3.15</v>
      </c>
      <c r="F27" s="30"/>
      <c r="G27" s="265"/>
      <c r="H27" s="30"/>
      <c r="J27" s="30"/>
      <c r="K27" s="30"/>
      <c r="L27" s="30"/>
      <c r="M27" s="30"/>
      <c r="N27" s="30"/>
      <c r="O27" s="30"/>
    </row>
    <row r="28" spans="1:15" x14ac:dyDescent="0.3">
      <c r="A28" s="223" t="s">
        <v>311</v>
      </c>
      <c r="B28" s="226"/>
      <c r="C28" s="30"/>
      <c r="D28" s="30"/>
      <c r="E28" s="30">
        <f>SUM(E25:E27)</f>
        <v>12.37</v>
      </c>
      <c r="F28" s="30"/>
      <c r="G28" s="265"/>
      <c r="H28" s="30"/>
      <c r="I28" s="30"/>
      <c r="J28" s="30"/>
      <c r="K28" s="30"/>
      <c r="L28" s="30"/>
      <c r="M28" s="30"/>
      <c r="N28" s="30"/>
      <c r="O28" s="30"/>
    </row>
    <row r="29" spans="1:15" x14ac:dyDescent="0.3">
      <c r="A29" s="224" t="s">
        <v>312</v>
      </c>
      <c r="B29" s="30"/>
      <c r="C29" s="30"/>
      <c r="D29" s="30"/>
      <c r="E29">
        <f>E28/3</f>
        <v>4.1233333333333331</v>
      </c>
      <c r="F29" s="30"/>
      <c r="G29" s="265"/>
      <c r="H29" s="30"/>
      <c r="I29" s="30"/>
      <c r="J29" s="30"/>
      <c r="K29" s="30"/>
      <c r="L29" s="30"/>
      <c r="M29" s="30"/>
      <c r="N29" s="30"/>
      <c r="O29" s="30"/>
    </row>
    <row r="30" spans="1:15" x14ac:dyDescent="0.3">
      <c r="A30" s="148" t="s">
        <v>313</v>
      </c>
      <c r="B30" s="30">
        <v>8</v>
      </c>
      <c r="C30" s="30"/>
      <c r="D30" s="30"/>
      <c r="E30" s="30"/>
      <c r="F30" s="30"/>
      <c r="G30" s="265"/>
      <c r="H30" s="30"/>
      <c r="I30" s="30"/>
      <c r="J30" s="30"/>
      <c r="K30" s="30"/>
      <c r="L30" s="30"/>
      <c r="M30" s="30"/>
      <c r="N30" s="30"/>
      <c r="O30" s="30"/>
    </row>
    <row r="31" spans="1:15" x14ac:dyDescent="0.3">
      <c r="A31" s="148" t="s">
        <v>314</v>
      </c>
      <c r="B31" s="216">
        <v>7</v>
      </c>
      <c r="D31" s="30"/>
      <c r="E31" s="30"/>
      <c r="F31" s="30"/>
      <c r="G31" s="265"/>
    </row>
    <row r="32" spans="1:15" x14ac:dyDescent="0.3">
      <c r="A32" s="148" t="s">
        <v>316</v>
      </c>
      <c r="B32" s="30">
        <v>52</v>
      </c>
      <c r="C32" s="30"/>
      <c r="D32" s="30"/>
      <c r="F32" s="33"/>
      <c r="G32" s="265"/>
      <c r="H32" s="30"/>
      <c r="I32" s="30"/>
      <c r="J32" s="30"/>
      <c r="K32" s="30"/>
      <c r="L32" s="30"/>
      <c r="M32" s="30"/>
      <c r="N32" s="30"/>
      <c r="O32" s="30"/>
    </row>
    <row r="33" spans="1:15" x14ac:dyDescent="0.3">
      <c r="A33" s="224" t="s">
        <v>322</v>
      </c>
      <c r="B33" s="30"/>
      <c r="C33" s="30"/>
      <c r="D33" s="30">
        <v>3301</v>
      </c>
      <c r="E33" s="30"/>
      <c r="F33" s="30"/>
      <c r="G33" s="265"/>
      <c r="H33" s="30"/>
      <c r="I33" s="30"/>
      <c r="J33" s="30"/>
      <c r="K33" s="30"/>
      <c r="L33" s="30"/>
      <c r="M33" s="30"/>
      <c r="N33" s="30"/>
      <c r="O33" s="30"/>
    </row>
    <row r="34" spans="1:15" ht="15" customHeight="1" x14ac:dyDescent="0.3">
      <c r="A34" s="148" t="s">
        <v>313</v>
      </c>
      <c r="B34" s="60">
        <v>6</v>
      </c>
      <c r="C34" s="28"/>
      <c r="D34" s="28"/>
      <c r="E34" s="28"/>
      <c r="F34" s="28"/>
      <c r="G34" s="266"/>
      <c r="H34" s="28"/>
      <c r="I34" s="28"/>
      <c r="J34" s="28"/>
      <c r="K34" s="30"/>
      <c r="L34" s="30"/>
      <c r="M34" s="30"/>
      <c r="N34" s="30"/>
      <c r="O34" s="30"/>
    </row>
    <row r="35" spans="1:15" x14ac:dyDescent="0.3">
      <c r="A35" s="148" t="s">
        <v>314</v>
      </c>
      <c r="B35" s="30">
        <v>7</v>
      </c>
      <c r="C35" s="30"/>
      <c r="D35" s="30"/>
      <c r="E35" s="30"/>
      <c r="F35" s="30"/>
      <c r="G35" s="265"/>
      <c r="H35" s="30"/>
      <c r="I35" s="30"/>
      <c r="J35" s="30"/>
      <c r="K35" s="30"/>
      <c r="L35" s="30"/>
      <c r="M35" s="30"/>
      <c r="N35" s="30"/>
      <c r="O35" s="30"/>
    </row>
    <row r="36" spans="1:15" x14ac:dyDescent="0.3">
      <c r="A36" s="148" t="s">
        <v>316</v>
      </c>
      <c r="B36" s="30">
        <v>52</v>
      </c>
      <c r="C36" s="30"/>
      <c r="D36" s="30"/>
      <c r="E36" s="30"/>
      <c r="F36" s="30"/>
      <c r="G36" s="265"/>
      <c r="H36" s="30"/>
      <c r="I36" s="30"/>
      <c r="J36" s="30"/>
      <c r="K36" s="30"/>
      <c r="L36" s="30"/>
      <c r="M36" s="30"/>
      <c r="N36" s="30"/>
      <c r="O36" s="30"/>
    </row>
    <row r="37" spans="1:15" x14ac:dyDescent="0.3">
      <c r="A37" s="224" t="s">
        <v>325</v>
      </c>
      <c r="B37" s="30">
        <f>E14</f>
        <v>0.301657962694732</v>
      </c>
      <c r="C37" s="62" t="s">
        <v>326</v>
      </c>
      <c r="D37" s="30"/>
      <c r="E37" s="30"/>
      <c r="F37" s="30"/>
      <c r="G37" s="265"/>
      <c r="H37" s="30"/>
      <c r="I37" s="30"/>
      <c r="J37" s="30"/>
      <c r="K37" s="30"/>
      <c r="L37" s="30"/>
      <c r="M37" s="30"/>
      <c r="N37" s="30"/>
      <c r="O37" s="30"/>
    </row>
    <row r="38" spans="1:15" x14ac:dyDescent="0.3">
      <c r="B38" s="30"/>
      <c r="C38" s="30"/>
      <c r="D38" s="30"/>
      <c r="E38" s="30"/>
      <c r="F38" s="30"/>
      <c r="G38" s="265"/>
      <c r="H38" s="30"/>
      <c r="I38" s="30"/>
      <c r="J38" s="30"/>
      <c r="K38" s="30"/>
      <c r="L38" s="30"/>
      <c r="M38" s="30"/>
      <c r="N38" s="30"/>
      <c r="O38" s="30"/>
    </row>
    <row r="39" spans="1:15" x14ac:dyDescent="0.3">
      <c r="B39" s="30"/>
      <c r="C39" s="30"/>
      <c r="D39" s="30"/>
      <c r="E39" s="30"/>
      <c r="F39" s="30"/>
      <c r="G39" s="265"/>
      <c r="H39" s="30"/>
      <c r="I39" s="30"/>
      <c r="J39" s="30"/>
      <c r="K39" s="30"/>
      <c r="L39" s="30"/>
      <c r="M39" s="30"/>
      <c r="N39" s="30"/>
      <c r="O39" s="30"/>
    </row>
    <row r="40" spans="1:15" x14ac:dyDescent="0.3">
      <c r="B40" s="30"/>
      <c r="C40" s="30"/>
      <c r="D40" s="30"/>
      <c r="E40" s="30"/>
      <c r="F40" s="30"/>
      <c r="G40" s="265"/>
      <c r="H40" s="30"/>
      <c r="I40" s="30"/>
      <c r="J40" s="30"/>
      <c r="K40" s="30"/>
      <c r="L40" s="30"/>
      <c r="M40" s="30"/>
      <c r="N40" s="30"/>
      <c r="O40" s="30"/>
    </row>
    <row r="41" spans="1:15" x14ac:dyDescent="0.3">
      <c r="B41" s="30"/>
      <c r="C41" s="30"/>
      <c r="D41" s="30"/>
      <c r="E41" s="30"/>
      <c r="F41" s="30"/>
      <c r="G41" s="265"/>
      <c r="H41" s="30"/>
      <c r="I41" s="30"/>
      <c r="J41" s="30"/>
      <c r="K41" s="30"/>
      <c r="L41" s="30"/>
      <c r="M41" s="30"/>
      <c r="N41" s="30"/>
      <c r="O41" s="30"/>
    </row>
    <row r="42" spans="1:15" x14ac:dyDescent="0.3">
      <c r="B42" s="30"/>
      <c r="C42" s="30"/>
      <c r="D42" s="30"/>
      <c r="E42" s="30"/>
      <c r="F42" s="30"/>
      <c r="G42" s="265"/>
      <c r="H42" s="30"/>
      <c r="I42" s="30"/>
      <c r="J42" s="30"/>
      <c r="K42" s="30"/>
      <c r="L42" s="30"/>
      <c r="M42" s="30"/>
      <c r="N42" s="30"/>
      <c r="O42" s="30"/>
    </row>
    <row r="43" spans="1:15" x14ac:dyDescent="0.3">
      <c r="B43" s="30"/>
      <c r="C43" s="30"/>
      <c r="D43" s="30"/>
      <c r="E43" s="30"/>
      <c r="F43" s="30"/>
      <c r="G43" s="265"/>
      <c r="H43" s="30"/>
      <c r="I43" s="30"/>
      <c r="J43" s="30"/>
      <c r="K43" s="30"/>
      <c r="L43" s="30"/>
      <c r="M43" s="30"/>
      <c r="N43" s="30"/>
      <c r="O43" s="30"/>
    </row>
    <row r="44" spans="1:15" x14ac:dyDescent="0.3">
      <c r="B44" s="30"/>
      <c r="C44" s="30"/>
      <c r="D44" s="30"/>
      <c r="E44" s="30"/>
      <c r="F44" s="30"/>
      <c r="G44" s="265"/>
      <c r="H44" s="30"/>
      <c r="I44" s="30"/>
      <c r="J44" s="30"/>
      <c r="K44" s="30"/>
      <c r="L44" s="30"/>
      <c r="M44" s="30"/>
      <c r="N44" s="30"/>
      <c r="O44" s="30"/>
    </row>
    <row r="46" spans="1:15" x14ac:dyDescent="0.3">
      <c r="D46">
        <f>156</f>
        <v>156</v>
      </c>
    </row>
  </sheetData>
  <mergeCells count="1">
    <mergeCell ref="A1:I1"/>
  </mergeCells>
  <pageMargins left="0.7" right="0.7" top="0.75" bottom="0.75" header="0.3" footer="0.3"/>
  <pageSetup paperSize="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heetView workbookViewId="1"/>
  </sheetViews>
  <sheetFormatPr defaultRowHeight="14.4" x14ac:dyDescent="0.3"/>
  <cols>
    <col min="2" max="2" width="10.109375" customWidth="1"/>
    <col min="4" max="5" width="17.109375" customWidth="1"/>
  </cols>
  <sheetData>
    <row r="1" spans="1:5" x14ac:dyDescent="0.3">
      <c r="D1" s="455" t="s">
        <v>315</v>
      </c>
      <c r="E1" s="455"/>
    </row>
    <row r="2" spans="1:5" x14ac:dyDescent="0.3">
      <c r="D2" s="455"/>
      <c r="E2" s="455"/>
    </row>
    <row r="3" spans="1:5" ht="18" x14ac:dyDescent="0.35">
      <c r="D3" s="456" t="s">
        <v>382</v>
      </c>
      <c r="E3" s="456"/>
    </row>
    <row r="5" spans="1:5" x14ac:dyDescent="0.3">
      <c r="D5" s="344" t="s">
        <v>383</v>
      </c>
      <c r="E5" s="344" t="s">
        <v>384</v>
      </c>
    </row>
    <row r="7" spans="1:5" x14ac:dyDescent="0.3">
      <c r="B7" t="s">
        <v>385</v>
      </c>
      <c r="D7" s="345">
        <v>4095423</v>
      </c>
      <c r="E7" s="345">
        <v>4095423</v>
      </c>
    </row>
    <row r="8" spans="1:5" x14ac:dyDescent="0.3">
      <c r="D8" s="345"/>
      <c r="E8" s="345"/>
    </row>
    <row r="9" spans="1:5" x14ac:dyDescent="0.3">
      <c r="B9" t="s">
        <v>386</v>
      </c>
      <c r="D9" s="346">
        <f>41685+2313</f>
        <v>43998</v>
      </c>
      <c r="E9" s="346">
        <f>648171+87780</f>
        <v>735951</v>
      </c>
    </row>
    <row r="10" spans="1:5" x14ac:dyDescent="0.3">
      <c r="D10" s="345"/>
      <c r="E10" s="345"/>
    </row>
    <row r="11" spans="1:5" x14ac:dyDescent="0.3">
      <c r="D11" s="345"/>
      <c r="E11" s="345"/>
    </row>
    <row r="12" spans="1:5" ht="15" thickBot="1" x14ac:dyDescent="0.35">
      <c r="B12" s="9" t="s">
        <v>387</v>
      </c>
      <c r="D12" s="347">
        <f>+D7/D9</f>
        <v>93.082026455747993</v>
      </c>
      <c r="E12" s="347">
        <f>+E7/E9</f>
        <v>5.5648039067818376</v>
      </c>
    </row>
    <row r="13" spans="1:5" ht="15" thickTop="1" x14ac:dyDescent="0.3"/>
    <row r="14" spans="1:5" x14ac:dyDescent="0.3">
      <c r="A14" t="s">
        <v>388</v>
      </c>
    </row>
    <row r="15" spans="1:5" x14ac:dyDescent="0.3">
      <c r="A15" t="s">
        <v>389</v>
      </c>
      <c r="B15" s="348">
        <v>704780</v>
      </c>
      <c r="D15" s="349">
        <f>-B15/D9</f>
        <v>-16.018455384335653</v>
      </c>
      <c r="E15" s="349">
        <f>-B15/E9</f>
        <v>-0.957645278014433</v>
      </c>
    </row>
    <row r="16" spans="1:5" x14ac:dyDescent="0.3">
      <c r="D16" s="345"/>
      <c r="E16" s="345"/>
    </row>
    <row r="17" spans="1:5" x14ac:dyDescent="0.3">
      <c r="B17" s="9" t="s">
        <v>390</v>
      </c>
      <c r="D17" s="350">
        <f>SUM(D12:D15)</f>
        <v>77.063571071412341</v>
      </c>
      <c r="E17" s="350">
        <f>SUM(E12:E15)</f>
        <v>4.6071586287674045</v>
      </c>
    </row>
    <row r="18" spans="1:5" x14ac:dyDescent="0.3">
      <c r="D18" s="351"/>
      <c r="E18" s="351"/>
    </row>
    <row r="19" spans="1:5" x14ac:dyDescent="0.3">
      <c r="A19" t="s">
        <v>391</v>
      </c>
      <c r="D19" s="351">
        <f>+D17*1.02</f>
        <v>78.604842492840589</v>
      </c>
      <c r="E19" s="351">
        <f>+E17*1.02</f>
        <v>4.6993018013427523</v>
      </c>
    </row>
    <row r="20" spans="1:5" x14ac:dyDescent="0.3">
      <c r="A20" t="s">
        <v>392</v>
      </c>
      <c r="D20" s="351">
        <f>+D19*1.02</f>
        <v>80.176939342697409</v>
      </c>
      <c r="E20" s="351">
        <f>+E19*1.02</f>
        <v>4.7932878373696077</v>
      </c>
    </row>
    <row r="21" spans="1:5" x14ac:dyDescent="0.3">
      <c r="A21" t="s">
        <v>393</v>
      </c>
      <c r="D21" s="351">
        <f>+D20*1.02</f>
        <v>81.780478129551355</v>
      </c>
      <c r="E21" s="351">
        <f>+E20*1.02</f>
        <v>4.8891535941170003</v>
      </c>
    </row>
    <row r="22" spans="1:5" x14ac:dyDescent="0.3">
      <c r="D22" s="345"/>
      <c r="E22" s="345"/>
    </row>
    <row r="23" spans="1:5" x14ac:dyDescent="0.3">
      <c r="D23" s="352" t="s">
        <v>394</v>
      </c>
      <c r="E23" s="345"/>
    </row>
    <row r="24" spans="1:5" x14ac:dyDescent="0.3">
      <c r="D24" s="345"/>
      <c r="E24" s="345"/>
    </row>
    <row r="25" spans="1:5" x14ac:dyDescent="0.3">
      <c r="D25" s="345"/>
      <c r="E25" s="345"/>
    </row>
  </sheetData>
  <mergeCells count="2">
    <mergeCell ref="D1:E2"/>
    <mergeCell ref="D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vt:i4>
      </vt:variant>
    </vt:vector>
  </HeadingPairs>
  <TitlesOfParts>
    <vt:vector size="18" baseType="lpstr">
      <vt:lpstr>Revenue</vt:lpstr>
      <vt:lpstr>Costs</vt:lpstr>
      <vt:lpstr>I-5 Backbone</vt:lpstr>
      <vt:lpstr>Siskiyou Feeder</vt:lpstr>
      <vt:lpstr>Shasta Urban Feeder</vt:lpstr>
      <vt:lpstr>North Valley Feeder</vt:lpstr>
      <vt:lpstr>Lake Feeder</vt:lpstr>
      <vt:lpstr>Operating Cost Calcs</vt:lpstr>
      <vt:lpstr>RABA Costs</vt:lpstr>
      <vt:lpstr>Vehicle Costs</vt:lpstr>
      <vt:lpstr>Lake Op Costs</vt:lpstr>
      <vt:lpstr>Fare Analysis</vt:lpstr>
      <vt:lpstr>E Bus Fleet</vt:lpstr>
      <vt:lpstr>LCFS</vt:lpstr>
      <vt:lpstr>Implementation Costs</vt:lpstr>
      <vt:lpstr>'Fare Analysis'!Print_Area</vt:lpstr>
      <vt:lpstr>'I-5 Backbone'!Print_Area</vt:lpstr>
      <vt:lpstr>'Operating Cost Calcs'!Print_Area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Schwein</dc:creator>
  <cp:lastModifiedBy>Jeff Schwein</cp:lastModifiedBy>
  <cp:lastPrinted>2018-01-12T01:45:32Z</cp:lastPrinted>
  <dcterms:created xsi:type="dcterms:W3CDTF">2017-12-11T14:35:08Z</dcterms:created>
  <dcterms:modified xsi:type="dcterms:W3CDTF">2018-01-12T16:42:33Z</dcterms:modified>
</cp:coreProperties>
</file>